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070" tabRatio="595" activeTab="1"/>
  </bookViews>
  <sheets>
    <sheet name="Moshtarakin" sheetId="1" r:id="rId1"/>
    <sheet name="Foroush" sheetId="2" r:id="rId2"/>
    <sheet name="Bar" sheetId="3" r:id="rId3"/>
    <sheet name="shabakeh" sheetId="4" r:id="rId4"/>
    <sheet name="rosta" sheetId="5" r:id="rId5"/>
    <sheet name="Chah" sheetId="6" r:id="rId6"/>
  </sheets>
  <externalReferences>
    <externalReference r:id="rId9"/>
    <externalReference r:id="rId10"/>
    <externalReference r:id="rId11"/>
  </externalReferences>
  <definedNames>
    <definedName name="_xlnm.Print_Area" localSheetId="4">'rosta'!$I$4:$U$18</definedName>
    <definedName name="_xlnm.Print_Area" localSheetId="3">'shabakeh'!$L$1:$R$16</definedName>
  </definedNames>
  <calcPr fullCalcOnLoad="1"/>
</workbook>
</file>

<file path=xl/sharedStrings.xml><?xml version="1.0" encoding="utf-8"?>
<sst xmlns="http://schemas.openxmlformats.org/spreadsheetml/2006/main" count="324" uniqueCount="123">
  <si>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</si>
  <si>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</si>
  <si>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</si>
  <si>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</si>
  <si>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</si>
  <si>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</si>
  <si>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</si>
  <si>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</si>
  <si>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</si>
  <si>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</si>
  <si>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</si>
  <si>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</si>
  <si>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</si>
  <si>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</si>
  <si>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</si>
  <si>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</si>
  <si>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</si>
  <si>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</si>
  <si>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</si>
  <si>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</si>
  <si>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</si>
  <si>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</si>
  <si>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</si>
  <si>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</si>
  <si>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</si>
  <si>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</si>
  <si>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</si>
  <si>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</si>
  <si>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</si>
  <si>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</si>
  <si>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</si>
  <si>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</si>
  <si>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</si>
  <si>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</si>
  <si>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</si>
  <si>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</si>
  <si>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</si>
  <si>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</si>
  <si>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</si>
  <si>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</si>
  <si>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</si>
  <si>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</si>
  <si>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</si>
  <si>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</si>
  <si>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</si>
  <si>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</si>
  <si>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</si>
  <si>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</si>
  <si>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</si>
  <si>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</si>
  <si>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</si>
  <si>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</si>
  <si>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>كل ظرفيت (MVA)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</si>
  <si>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</si>
  <si>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</si>
  <si>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</si>
  <si>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</si>
  <si>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</si>
  <si>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</si>
  <si>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</si>
  <si>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</si>
  <si>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r>
      <t>م</t>
    </r>
    <r>
      <rPr>
        <sz val="12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</si>
  <si>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</si>
  <si>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</si>
  <si>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</si>
  <si>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</si>
  <si>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r>
      <t>م</t>
    </r>
    <r>
      <rPr>
        <b/>
        <sz val="12"/>
        <rFont val="Badr"/>
        <family val="0"/>
      </rPr>
      <t>1- تعداد چاه هايي كه توسط شبكه ي توزيع برقدار شده اند، همراه با متوسط ديماند (تقاضاي مصرف)</t>
    </r>
  </si>
  <si>
    <r>
      <t>م</t>
    </r>
    <r>
      <rPr>
        <b/>
        <sz val="12"/>
        <rFont val="Badr"/>
        <family val="0"/>
      </rPr>
      <t>2- انرژي برق كه توسط چاه هاي كشاورزي در ماه مصرف مي شود.</t>
    </r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</si>
  <si>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</si>
  <si>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</si>
  <si>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</si>
  <si>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</si>
  <si>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</si>
  <si>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r>
      <t>م</t>
    </r>
    <r>
      <rPr>
        <sz val="12"/>
        <rFont val="Nazanin"/>
        <family val="0"/>
      </rPr>
      <t>2- در روستاهايي كه توسعه يافته اند، فقط مقدار شبكه و تعداد و ظرفيت ترانس اضافه شده را اعلام فرماييد.</t>
    </r>
  </si>
  <si>
    <t xml:space="preserve">اهواز </t>
  </si>
  <si>
    <t>_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</si>
  <si>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</si>
  <si>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t>ظرفيت ( مگاولت آمپر)</t>
  </si>
  <si>
    <t xml:space="preserve">زميني </t>
  </si>
  <si>
    <t xml:space="preserve">جمع </t>
  </si>
  <si>
    <t>مجری پروژه : 1= شرکت برق منطقه ای ، 2= شرکت توزيع ، 3= جهاد ، 4= پيمانکار ، 5= ساير</t>
  </si>
  <si>
    <t>محل تامين منابع مالی : 1= خودياری ، 2= وزارت نيرو تبصره 25 ،3=مناطق محروم تبصره 37 ، 4=منابع استانی  ، 5=طرح رهبری 6= ساير</t>
  </si>
  <si>
    <t>جدول 5-1</t>
  </si>
  <si>
    <t>TDI91</t>
  </si>
  <si>
    <t>رديف</t>
  </si>
  <si>
    <t>تاريخ برقدار شدن روستا ( ماه -سال)</t>
  </si>
  <si>
    <t>شهرستان</t>
  </si>
  <si>
    <t>رديف منطقه</t>
  </si>
  <si>
    <t>رديف شهر</t>
  </si>
  <si>
    <t>دهستان</t>
  </si>
  <si>
    <t>نام روستا</t>
  </si>
  <si>
    <r>
      <t>توسعه يافته</t>
    </r>
    <r>
      <rPr>
        <b/>
        <sz val="11"/>
        <rFont val="Arial"/>
        <family val="2"/>
      </rPr>
      <t>*</t>
    </r>
  </si>
  <si>
    <t xml:space="preserve"> طول شبکه فشار</t>
  </si>
  <si>
    <t>ترانس</t>
  </si>
  <si>
    <t>مجری</t>
  </si>
  <si>
    <t>منابع مالی</t>
  </si>
  <si>
    <t>ضعيف</t>
  </si>
  <si>
    <t xml:space="preserve">متوسط       </t>
  </si>
  <si>
    <t>جمع ظرفيت</t>
  </si>
  <si>
    <t>(km)</t>
  </si>
  <si>
    <t>(kva)</t>
  </si>
  <si>
    <t>.</t>
  </si>
  <si>
    <r>
      <t>روستاهاي توسعه يافته با(</t>
    </r>
    <r>
      <rPr>
        <b/>
        <sz val="12"/>
        <rFont val="Arial"/>
        <family val="2"/>
      </rPr>
      <t>*</t>
    </r>
    <r>
      <rPr>
        <b/>
        <sz val="12"/>
        <rFont val="Nazanin"/>
        <family val="0"/>
      </rPr>
      <t>)مشخص گردد</t>
    </r>
  </si>
  <si>
    <t xml:space="preserve">آمار روستاهای برق دار شده وتوسعه يافته در سال 1389 در شركت توزيع نيروي برق اهواز </t>
  </si>
  <si>
    <t>89/04/31</t>
  </si>
  <si>
    <t xml:space="preserve">ام السراجینه </t>
  </si>
  <si>
    <t>*</t>
  </si>
  <si>
    <t xml:space="preserve">برق اهواز </t>
  </si>
  <si>
    <t xml:space="preserve">استانداری </t>
  </si>
  <si>
    <t xml:space="preserve">قلعه مزبان </t>
  </si>
  <si>
    <t>تلبومه</t>
  </si>
  <si>
    <t xml:space="preserve">حمیدیه </t>
  </si>
  <si>
    <t>خسرج ، شیخ خالد ، علاونه ،وصیله حلاف)</t>
  </si>
  <si>
    <t xml:space="preserve">دغاغله </t>
  </si>
  <si>
    <t>غیزانیه (فاز اول )</t>
  </si>
  <si>
    <t>غیزانیه (فاز دوم )</t>
  </si>
  <si>
    <t xml:space="preserve">ملاثانی </t>
  </si>
  <si>
    <t xml:space="preserve">ویس </t>
  </si>
  <si>
    <t xml:space="preserve">عناقچه </t>
  </si>
  <si>
    <t>113159</t>
  </si>
  <si>
    <t>113910</t>
  </si>
  <si>
    <t>113925</t>
  </si>
  <si>
    <t>114219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</si>
</sst>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2"/>
      <color indexed="9"/>
      <name val="Bad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B Nazanin"/>
      <family val="0"/>
    </font>
    <font>
      <b/>
      <sz val="11"/>
      <color indexed="8"/>
      <name val="B Nazanin"/>
      <family val="0"/>
    </font>
    <font>
      <b/>
      <sz val="14"/>
      <name val="Yagut"/>
      <family val="0"/>
    </font>
    <font>
      <b/>
      <sz val="10"/>
      <name val="Yagut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Yagut"/>
      <family val="0"/>
    </font>
    <font>
      <b/>
      <sz val="12"/>
      <name val="Arial"/>
      <family val="2"/>
    </font>
    <font>
      <b/>
      <sz val="11"/>
      <name val="Yagut"/>
      <family val="0"/>
    </font>
    <font>
      <b/>
      <sz val="9"/>
      <name val="Badr"/>
      <family val="0"/>
    </font>
    <font>
      <sz val="8"/>
      <name val="B Kooda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right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vertical="center" wrapText="1"/>
    </xf>
    <xf numFmtId="0" fontId="24" fillId="0" borderId="45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6" fillId="0" borderId="45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26" fillId="0" borderId="45" xfId="0" applyFont="1" applyBorder="1" applyAlignment="1" applyProtection="1">
      <alignment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45" xfId="0" applyFont="1" applyBorder="1" applyAlignment="1">
      <alignment horizontal="center" vertical="center" wrapText="1"/>
    </xf>
    <xf numFmtId="0" fontId="26" fillId="0" borderId="45" xfId="0" applyFont="1" applyBorder="1" applyAlignment="1" applyProtection="1">
      <alignment vertical="center" wrapText="1"/>
      <protection locked="0"/>
    </xf>
    <xf numFmtId="0" fontId="26" fillId="0" borderId="45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right" vertical="center"/>
      <protection locked="0"/>
    </xf>
    <xf numFmtId="0" fontId="27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4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24" borderId="31" xfId="0" applyFont="1" applyFill="1" applyBorder="1" applyAlignment="1" applyProtection="1">
      <alignment horizontal="center" vertical="center"/>
      <protection locked="0"/>
    </xf>
    <xf numFmtId="0" fontId="18" fillId="24" borderId="33" xfId="0" applyFont="1" applyFill="1" applyBorder="1" applyAlignment="1" applyProtection="1">
      <alignment horizontal="center" vertical="center"/>
      <protection locked="0"/>
    </xf>
    <xf numFmtId="0" fontId="18" fillId="25" borderId="48" xfId="0" applyFont="1" applyFill="1" applyBorder="1" applyAlignment="1">
      <alignment horizontal="center" vertical="center"/>
    </xf>
    <xf numFmtId="0" fontId="18" fillId="25" borderId="14" xfId="0" applyFont="1" applyFill="1" applyBorder="1" applyAlignment="1" applyProtection="1">
      <alignment horizontal="center" vertical="center"/>
      <protection/>
    </xf>
    <xf numFmtId="0" fontId="18" fillId="25" borderId="15" xfId="0" applyFont="1" applyFill="1" applyBorder="1" applyAlignment="1" applyProtection="1">
      <alignment horizontal="center" vertical="center"/>
      <protection/>
    </xf>
    <xf numFmtId="0" fontId="18" fillId="25" borderId="18" xfId="0" applyFont="1" applyFill="1" applyBorder="1" applyAlignment="1" applyProtection="1">
      <alignment horizontal="center" vertical="center"/>
      <protection/>
    </xf>
    <xf numFmtId="0" fontId="18" fillId="25" borderId="49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0" fontId="18" fillId="24" borderId="23" xfId="0" applyFont="1" applyFill="1" applyBorder="1" applyAlignment="1" applyProtection="1">
      <alignment horizontal="center" vertical="center"/>
      <protection locked="0"/>
    </xf>
    <xf numFmtId="0" fontId="18" fillId="24" borderId="21" xfId="0" applyFont="1" applyFill="1" applyBorder="1" applyAlignment="1" applyProtection="1">
      <alignment horizontal="center" vertical="center"/>
      <protection locked="0"/>
    </xf>
    <xf numFmtId="0" fontId="18" fillId="25" borderId="50" xfId="0" applyFont="1" applyFill="1" applyBorder="1" applyAlignment="1">
      <alignment horizontal="center" vertical="center"/>
    </xf>
    <xf numFmtId="0" fontId="18" fillId="25" borderId="5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0" fontId="18" fillId="25" borderId="43" xfId="0" applyFont="1" applyFill="1" applyBorder="1" applyAlignment="1" applyProtection="1">
      <alignment horizontal="center" vertical="center" wrapText="1"/>
      <protection/>
    </xf>
    <xf numFmtId="0" fontId="18" fillId="24" borderId="48" xfId="0" applyFont="1" applyFill="1" applyBorder="1" applyAlignment="1" applyProtection="1">
      <alignment horizontal="center" vertical="center"/>
      <protection locked="0"/>
    </xf>
    <xf numFmtId="0" fontId="18" fillId="24" borderId="53" xfId="0" applyFont="1" applyFill="1" applyBorder="1" applyAlignment="1" applyProtection="1">
      <alignment horizontal="center" vertical="center"/>
      <protection locked="0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5" borderId="54" xfId="0" applyFont="1" applyFill="1" applyBorder="1" applyAlignment="1">
      <alignment horizontal="center" vertical="center"/>
    </xf>
    <xf numFmtId="0" fontId="26" fillId="0" borderId="4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32" fillId="25" borderId="45" xfId="0" applyFont="1" applyFill="1" applyBorder="1" applyAlignment="1" applyProtection="1">
      <alignment vertical="center"/>
      <protection locked="0"/>
    </xf>
    <xf numFmtId="0" fontId="27" fillId="25" borderId="4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3" fillId="25" borderId="13" xfId="0" applyFont="1" applyFill="1" applyBorder="1" applyAlignment="1" applyProtection="1">
      <alignment horizontal="center" vertical="center"/>
      <protection locked="0"/>
    </xf>
    <xf numFmtId="0" fontId="33" fillId="25" borderId="55" xfId="0" applyFont="1" applyFill="1" applyBorder="1" applyAlignment="1" applyProtection="1">
      <alignment horizontal="center" vertical="center"/>
      <protection locked="0"/>
    </xf>
    <xf numFmtId="0" fontId="33" fillId="25" borderId="56" xfId="0" applyFont="1" applyFill="1" applyBorder="1" applyAlignment="1" applyProtection="1">
      <alignment horizontal="center" vertical="center" wrapText="1"/>
      <protection locked="0"/>
    </xf>
    <xf numFmtId="0" fontId="0" fillId="25" borderId="54" xfId="0" applyFont="1" applyFill="1" applyBorder="1" applyAlignment="1" applyProtection="1">
      <alignment horizontal="center" vertical="center"/>
      <protection locked="0"/>
    </xf>
    <xf numFmtId="0" fontId="0" fillId="25" borderId="57" xfId="0" applyFont="1" applyFill="1" applyBorder="1" applyAlignment="1" applyProtection="1">
      <alignment horizontal="center" vertical="center"/>
      <protection locked="0"/>
    </xf>
    <xf numFmtId="0" fontId="0" fillId="25" borderId="48" xfId="0" applyFill="1" applyBorder="1" applyAlignment="1" applyProtection="1">
      <alignment/>
      <protection/>
    </xf>
    <xf numFmtId="0" fontId="0" fillId="25" borderId="58" xfId="0" applyFill="1" applyBorder="1" applyAlignment="1" applyProtection="1">
      <alignment/>
      <protection locked="0"/>
    </xf>
    <xf numFmtId="0" fontId="0" fillId="25" borderId="42" xfId="0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/>
      <protection locked="0"/>
    </xf>
    <xf numFmtId="0" fontId="38" fillId="24" borderId="0" xfId="0" applyFont="1" applyFill="1" applyBorder="1" applyAlignment="1" applyProtection="1">
      <alignment horizontal="center"/>
      <protection locked="0"/>
    </xf>
    <xf numFmtId="0" fontId="39" fillId="0" borderId="28" xfId="0" applyFont="1" applyBorder="1" applyAlignment="1">
      <alignment horizontal="center" vertical="center" wrapText="1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0" fontId="18" fillId="24" borderId="20" xfId="0" applyFont="1" applyFill="1" applyBorder="1" applyAlignment="1" applyProtection="1">
      <alignment horizontal="center" vertical="center"/>
      <protection locked="0"/>
    </xf>
    <xf numFmtId="0" fontId="18" fillId="24" borderId="21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24" borderId="22" xfId="0" applyFont="1" applyFill="1" applyBorder="1" applyAlignment="1" applyProtection="1">
      <alignment horizontal="center" vertical="center"/>
      <protection locked="0"/>
    </xf>
    <xf numFmtId="0" fontId="18" fillId="24" borderId="36" xfId="0" applyFont="1" applyFill="1" applyBorder="1" applyAlignment="1" applyProtection="1">
      <alignment horizontal="center" vertical="center"/>
      <protection locked="0"/>
    </xf>
    <xf numFmtId="0" fontId="30" fillId="24" borderId="59" xfId="0" applyFont="1" applyFill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/>
    </xf>
    <xf numFmtId="0" fontId="36" fillId="24" borderId="31" xfId="0" applyFont="1" applyFill="1" applyBorder="1" applyAlignment="1" applyProtection="1">
      <alignment/>
      <protection/>
    </xf>
    <xf numFmtId="0" fontId="0" fillId="24" borderId="48" xfId="0" applyFill="1" applyBorder="1" applyAlignment="1" applyProtection="1">
      <alignment/>
      <protection/>
    </xf>
    <xf numFmtId="0" fontId="18" fillId="24" borderId="58" xfId="0" applyFont="1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0" fillId="24" borderId="58" xfId="0" applyFill="1" applyBorder="1" applyAlignment="1" applyProtection="1">
      <alignment/>
      <protection locked="0"/>
    </xf>
    <xf numFmtId="0" fontId="0" fillId="24" borderId="61" xfId="0" applyFill="1" applyBorder="1" applyAlignment="1" applyProtection="1">
      <alignment/>
      <protection locked="0"/>
    </xf>
    <xf numFmtId="0" fontId="18" fillId="24" borderId="42" xfId="0" applyFont="1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/>
      <protection locked="0"/>
    </xf>
    <xf numFmtId="0" fontId="0" fillId="24" borderId="53" xfId="0" applyFill="1" applyBorder="1" applyAlignment="1" applyProtection="1">
      <alignment/>
      <protection locked="0"/>
    </xf>
    <xf numFmtId="0" fontId="0" fillId="24" borderId="43" xfId="0" applyFill="1" applyBorder="1" applyAlignment="1" applyProtection="1">
      <alignment/>
      <protection locked="0"/>
    </xf>
    <xf numFmtId="0" fontId="0" fillId="24" borderId="42" xfId="0" applyFill="1" applyBorder="1" applyAlignment="1" applyProtection="1">
      <alignment/>
      <protection locked="0"/>
    </xf>
    <xf numFmtId="0" fontId="0" fillId="24" borderId="62" xfId="0" applyFill="1" applyBorder="1" applyAlignment="1" applyProtection="1">
      <alignment/>
      <protection locked="0"/>
    </xf>
    <xf numFmtId="0" fontId="40" fillId="24" borderId="35" xfId="0" applyFont="1" applyFill="1" applyBorder="1" applyAlignment="1" applyProtection="1">
      <alignment horizontal="center"/>
      <protection locked="0"/>
    </xf>
    <xf numFmtId="0" fontId="40" fillId="24" borderId="23" xfId="0" applyFont="1" applyFill="1" applyBorder="1" applyAlignment="1" applyProtection="1">
      <alignment horizontal="center"/>
      <protection locked="0"/>
    </xf>
    <xf numFmtId="0" fontId="40" fillId="24" borderId="21" xfId="0" applyFont="1" applyFill="1" applyBorder="1" applyAlignment="1" applyProtection="1">
      <alignment horizontal="center"/>
      <protection locked="0"/>
    </xf>
    <xf numFmtId="0" fontId="40" fillId="24" borderId="58" xfId="0" applyFont="1" applyFill="1" applyBorder="1" applyAlignment="1" applyProtection="1">
      <alignment horizontal="center"/>
      <protection locked="0"/>
    </xf>
    <xf numFmtId="0" fontId="40" fillId="24" borderId="61" xfId="0" applyFont="1" applyFill="1" applyBorder="1" applyAlignment="1" applyProtection="1">
      <alignment horizontal="center"/>
      <protection locked="0"/>
    </xf>
    <xf numFmtId="0" fontId="40" fillId="25" borderId="58" xfId="0" applyFont="1" applyFill="1" applyBorder="1" applyAlignment="1" applyProtection="1">
      <alignment horizontal="center"/>
      <protection locked="0"/>
    </xf>
    <xf numFmtId="0" fontId="30" fillId="0" borderId="63" xfId="0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2" fontId="18" fillId="0" borderId="19" xfId="0" applyNumberFormat="1" applyFont="1" applyBorder="1" applyAlignment="1" applyProtection="1">
      <alignment horizontal="center" vertical="center"/>
      <protection locked="0"/>
    </xf>
    <xf numFmtId="2" fontId="18" fillId="0" borderId="20" xfId="0" applyNumberFormat="1" applyFont="1" applyBorder="1" applyAlignment="1" applyProtection="1">
      <alignment horizontal="center" vertical="center"/>
      <protection locked="0"/>
    </xf>
    <xf numFmtId="171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4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8" fillId="0" borderId="32" xfId="0" applyFont="1" applyBorder="1" applyAlignment="1">
      <alignment horizontal="center" vertical="center"/>
    </xf>
    <xf numFmtId="0" fontId="18" fillId="25" borderId="64" xfId="0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 applyProtection="1">
      <alignment horizontal="center" vertical="center"/>
      <protection/>
    </xf>
    <xf numFmtId="0" fontId="18" fillId="25" borderId="34" xfId="0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/>
    </xf>
    <xf numFmtId="0" fontId="18" fillId="25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61" xfId="0" applyFont="1" applyFill="1" applyBorder="1" applyAlignment="1" applyProtection="1">
      <alignment horizontal="center" vertical="center"/>
      <protection/>
    </xf>
    <xf numFmtId="0" fontId="18" fillId="25" borderId="3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top" wrapText="1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4" fillId="0" borderId="45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3" fillId="25" borderId="68" xfId="0" applyFont="1" applyFill="1" applyBorder="1" applyAlignment="1" applyProtection="1">
      <alignment horizontal="center" vertical="center"/>
      <protection locked="0"/>
    </xf>
    <xf numFmtId="0" fontId="33" fillId="25" borderId="69" xfId="0" applyFont="1" applyFill="1" applyBorder="1" applyAlignment="1" applyProtection="1">
      <alignment horizontal="center" vertical="center"/>
      <protection locked="0"/>
    </xf>
    <xf numFmtId="0" fontId="33" fillId="25" borderId="13" xfId="0" applyFont="1" applyFill="1" applyBorder="1" applyAlignment="1" applyProtection="1">
      <alignment horizontal="center" vertical="center"/>
      <protection locked="0"/>
    </xf>
    <xf numFmtId="0" fontId="33" fillId="25" borderId="70" xfId="0" applyFont="1" applyFill="1" applyBorder="1" applyAlignment="1" applyProtection="1">
      <alignment horizontal="center" vertical="center"/>
      <protection locked="0"/>
    </xf>
    <xf numFmtId="0" fontId="33" fillId="25" borderId="54" xfId="0" applyFont="1" applyFill="1" applyBorder="1" applyAlignment="1" applyProtection="1">
      <alignment horizontal="center" vertical="center"/>
      <protection locked="0"/>
    </xf>
    <xf numFmtId="0" fontId="33" fillId="25" borderId="13" xfId="0" applyFont="1" applyFill="1" applyBorder="1" applyAlignment="1" applyProtection="1">
      <alignment horizontal="center" vertical="center" wrapText="1"/>
      <protection locked="0"/>
    </xf>
    <xf numFmtId="0" fontId="33" fillId="25" borderId="70" xfId="0" applyFont="1" applyFill="1" applyBorder="1" applyAlignment="1" applyProtection="1">
      <alignment horizontal="center" vertical="center" wrapText="1"/>
      <protection locked="0"/>
    </xf>
    <xf numFmtId="0" fontId="33" fillId="25" borderId="54" xfId="0" applyFont="1" applyFill="1" applyBorder="1" applyAlignment="1" applyProtection="1">
      <alignment horizontal="center" vertical="center" wrapText="1"/>
      <protection locked="0"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9" fillId="22" borderId="44" xfId="0" applyFont="1" applyFill="1" applyBorder="1" applyAlignment="1" applyProtection="1">
      <alignment horizontal="right" vertical="center"/>
      <protection/>
    </xf>
    <xf numFmtId="0" fontId="18" fillId="0" borderId="33" xfId="0" applyFont="1" applyBorder="1" applyAlignment="1">
      <alignment horizontal="center" vertical="center"/>
    </xf>
    <xf numFmtId="0" fontId="18" fillId="25" borderId="48" xfId="0" applyFont="1" applyFill="1" applyBorder="1" applyAlignment="1" applyProtection="1">
      <alignment horizontal="center" vertical="center"/>
      <protection locked="0"/>
    </xf>
    <xf numFmtId="0" fontId="18" fillId="25" borderId="58" xfId="0" applyFont="1" applyFill="1" applyBorder="1" applyAlignment="1" applyProtection="1">
      <alignment horizontal="center" vertical="center"/>
      <protection locked="0"/>
    </xf>
    <xf numFmtId="0" fontId="18" fillId="25" borderId="42" xfId="0" applyFont="1" applyFill="1" applyBorder="1" applyAlignment="1" applyProtection="1">
      <alignment horizontal="center" vertical="center"/>
      <protection locked="0"/>
    </xf>
    <xf numFmtId="0" fontId="33" fillId="25" borderId="56" xfId="0" applyFont="1" applyFill="1" applyBorder="1" applyAlignment="1" applyProtection="1">
      <alignment horizontal="center" vertical="center"/>
      <protection locked="0"/>
    </xf>
    <xf numFmtId="0" fontId="33" fillId="25" borderId="71" xfId="0" applyFont="1" applyFill="1" applyBorder="1" applyAlignment="1" applyProtection="1">
      <alignment horizontal="center" vertical="center"/>
      <protection locked="0"/>
    </xf>
    <xf numFmtId="0" fontId="33" fillId="25" borderId="57" xfId="0" applyFont="1" applyFill="1" applyBorder="1" applyAlignment="1" applyProtection="1">
      <alignment horizontal="center" vertical="center"/>
      <protection locked="0"/>
    </xf>
    <xf numFmtId="0" fontId="35" fillId="24" borderId="56" xfId="0" applyFont="1" applyFill="1" applyBorder="1" applyAlignment="1" applyProtection="1">
      <alignment horizontal="center"/>
      <protection/>
    </xf>
    <xf numFmtId="0" fontId="35" fillId="24" borderId="44" xfId="0" applyFont="1" applyFill="1" applyBorder="1" applyAlignment="1" applyProtection="1">
      <alignment horizontal="center"/>
      <protection/>
    </xf>
    <xf numFmtId="0" fontId="35" fillId="24" borderId="55" xfId="0" applyFont="1" applyFill="1" applyBorder="1" applyAlignment="1" applyProtection="1">
      <alignment horizontal="center"/>
      <protection/>
    </xf>
    <xf numFmtId="0" fontId="26" fillId="0" borderId="4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90318\shakes%20sherkat%20to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90512\shakes%20sherkat%20toz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90708\shakes%20sherkat%20to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sh va moshtarak"/>
      <sheetName val="shabake toziee"/>
      <sheetName val="kholase rostaiee"/>
      <sheetName val="riz rostaiee"/>
    </sheetNames>
    <sheetDataSet>
      <sheetData sheetId="1">
        <row r="5">
          <cell r="I5">
            <v>299965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sh va moshtarak"/>
      <sheetName val="shabake toziee"/>
      <sheetName val="kholase rostaiee"/>
      <sheetName val="riz rostaiee"/>
    </sheetNames>
    <sheetDataSet>
      <sheetData sheetId="0">
        <row r="26">
          <cell r="B26">
            <v>329127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sh va moshtarak"/>
      <sheetName val="shabake toziee"/>
      <sheetName val="kholase rostaiee"/>
      <sheetName val="riz rostaiee"/>
    </sheetNames>
    <sheetDataSet>
      <sheetData sheetId="0">
        <row r="9">
          <cell r="B9">
            <v>579554</v>
          </cell>
          <cell r="C9">
            <v>89546</v>
          </cell>
          <cell r="D9">
            <v>38317</v>
          </cell>
          <cell r="E9">
            <v>122869</v>
          </cell>
          <cell r="F9">
            <v>59723</v>
          </cell>
          <cell r="G9">
            <v>111</v>
          </cell>
        </row>
        <row r="10">
          <cell r="B10">
            <v>529825</v>
          </cell>
          <cell r="C10">
            <v>86718</v>
          </cell>
          <cell r="D10">
            <v>35707</v>
          </cell>
          <cell r="E10">
            <v>121004</v>
          </cell>
          <cell r="F10">
            <v>38114</v>
          </cell>
          <cell r="G10">
            <v>10594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16.0039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47" t="s">
        <v>16</v>
      </c>
      <c r="B1" s="147"/>
      <c r="C1" s="147"/>
      <c r="D1" s="147"/>
      <c r="E1" s="147"/>
      <c r="F1" s="65" t="s">
        <v>74</v>
      </c>
      <c r="G1" s="63" t="s">
        <v>15</v>
      </c>
      <c r="H1" s="49">
        <v>1389</v>
      </c>
    </row>
    <row r="2" spans="1:8" ht="20.25" thickBot="1">
      <c r="A2" s="48"/>
      <c r="B2" s="48"/>
      <c r="C2" s="48"/>
      <c r="D2" s="48"/>
      <c r="E2" s="48"/>
      <c r="F2" s="48"/>
      <c r="G2" s="148" t="s">
        <v>14</v>
      </c>
      <c r="H2" s="148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6">
        <v>322816</v>
      </c>
      <c r="C4" s="6">
        <v>11058</v>
      </c>
      <c r="D4" s="6">
        <v>454</v>
      </c>
      <c r="E4" s="6">
        <v>784</v>
      </c>
      <c r="F4" s="6">
        <v>47438</v>
      </c>
      <c r="G4" s="7">
        <v>2192</v>
      </c>
      <c r="H4" s="8">
        <f aca="true" t="shared" si="0" ref="H4:H9">SUM(B4:G4)</f>
        <v>384742</v>
      </c>
    </row>
    <row r="5" spans="1:8" ht="24" thickBot="1">
      <c r="A5" s="5" t="s">
        <v>9</v>
      </c>
      <c r="B5" s="6">
        <f>'[2]frosh va moshtarak'!$B$26</f>
        <v>329127</v>
      </c>
      <c r="C5" s="6">
        <v>11483</v>
      </c>
      <c r="D5" s="6">
        <v>466</v>
      </c>
      <c r="E5" s="6">
        <v>832</v>
      </c>
      <c r="F5" s="6">
        <v>49022</v>
      </c>
      <c r="G5" s="6">
        <v>2216</v>
      </c>
      <c r="H5" s="8">
        <f t="shared" si="0"/>
        <v>393146</v>
      </c>
    </row>
    <row r="6" spans="1:8" ht="24" thickBot="1">
      <c r="A6" s="5" t="s">
        <v>10</v>
      </c>
      <c r="B6" s="139">
        <v>334967</v>
      </c>
      <c r="C6" s="139">
        <v>11701</v>
      </c>
      <c r="D6" s="139">
        <v>472</v>
      </c>
      <c r="E6" s="139">
        <v>815</v>
      </c>
      <c r="F6" s="139">
        <v>49686</v>
      </c>
      <c r="G6" s="139">
        <v>2225</v>
      </c>
      <c r="H6" s="8">
        <f t="shared" si="0"/>
        <v>399866</v>
      </c>
    </row>
    <row r="7" spans="1:8" ht="24" thickBot="1">
      <c r="A7" s="5" t="s">
        <v>11</v>
      </c>
      <c r="B7" s="6">
        <v>340282</v>
      </c>
      <c r="C7" s="6">
        <v>11930</v>
      </c>
      <c r="D7" s="6">
        <v>484</v>
      </c>
      <c r="E7" s="6">
        <v>801</v>
      </c>
      <c r="F7" s="6">
        <v>50365</v>
      </c>
      <c r="G7" s="7">
        <v>2255</v>
      </c>
      <c r="H7" s="8">
        <f t="shared" si="0"/>
        <v>406117</v>
      </c>
    </row>
    <row r="8" spans="1:8" ht="24" thickBot="1">
      <c r="A8" s="5" t="s">
        <v>12</v>
      </c>
      <c r="B8" s="6">
        <v>345159</v>
      </c>
      <c r="C8" s="6">
        <v>12124</v>
      </c>
      <c r="D8" s="6">
        <v>485</v>
      </c>
      <c r="E8" s="6">
        <v>802</v>
      </c>
      <c r="F8" s="6">
        <v>51420</v>
      </c>
      <c r="G8" s="7">
        <v>2271</v>
      </c>
      <c r="H8" s="8">
        <f t="shared" si="0"/>
        <v>412261</v>
      </c>
    </row>
    <row r="9" spans="1:8" ht="24" thickBot="1">
      <c r="A9" s="5" t="s">
        <v>13</v>
      </c>
      <c r="B9" s="6">
        <v>348106</v>
      </c>
      <c r="C9" s="6">
        <v>12189</v>
      </c>
      <c r="D9" s="6">
        <v>770</v>
      </c>
      <c r="E9" s="6">
        <v>762</v>
      </c>
      <c r="F9" s="6">
        <v>52475</v>
      </c>
      <c r="G9" s="7">
        <v>2320</v>
      </c>
      <c r="H9" s="8">
        <f t="shared" si="0"/>
        <v>416622</v>
      </c>
    </row>
    <row r="11" spans="1:8" ht="18.75">
      <c r="A11" s="149" t="s">
        <v>17</v>
      </c>
      <c r="B11" s="149"/>
      <c r="C11" s="149"/>
      <c r="D11" s="149"/>
      <c r="E11" s="149"/>
      <c r="F11" s="149"/>
      <c r="G11" s="149"/>
      <c r="H11" s="149"/>
    </row>
    <row r="12" spans="1:8" ht="18.75">
      <c r="A12" s="149" t="s">
        <v>68</v>
      </c>
      <c r="B12" s="149"/>
      <c r="C12" s="149"/>
      <c r="D12" s="149"/>
      <c r="E12" s="149"/>
      <c r="F12" s="149"/>
      <c r="G12" s="149"/>
      <c r="H12" s="149"/>
    </row>
    <row r="13" spans="1:8" ht="57.75" customHeight="1">
      <c r="A13" s="146" t="s">
        <v>71</v>
      </c>
      <c r="B13" s="146"/>
      <c r="C13" s="146"/>
      <c r="D13" s="146"/>
      <c r="E13" s="146"/>
      <c r="F13" s="146"/>
      <c r="G13" s="146"/>
      <c r="H13" s="146"/>
    </row>
  </sheetData>
  <sheetProtection password="C4F7" sheet="1"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zoomScalePageLayoutView="0" workbookViewId="0" topLeftCell="A1">
      <selection activeCell="F10" sqref="F10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</cols>
  <sheetData>
    <row r="1" spans="1:8" ht="19.5">
      <c r="A1" s="147" t="s">
        <v>19</v>
      </c>
      <c r="B1" s="147"/>
      <c r="C1" s="147"/>
      <c r="D1" s="147"/>
      <c r="E1" s="64" t="s">
        <v>74</v>
      </c>
      <c r="F1" s="62" t="s">
        <v>20</v>
      </c>
      <c r="G1" s="49">
        <v>1389</v>
      </c>
      <c r="H1" s="62"/>
    </row>
    <row r="2" spans="1:8" ht="20.25" thickBot="1">
      <c r="A2" s="48"/>
      <c r="B2" s="48"/>
      <c r="C2" s="48"/>
      <c r="D2" s="48"/>
      <c r="E2" s="48"/>
      <c r="F2" s="48"/>
      <c r="G2" s="148" t="s">
        <v>18</v>
      </c>
      <c r="H2" s="148"/>
    </row>
    <row r="3" spans="1:8" ht="24" thickBot="1">
      <c r="A3" s="1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</row>
    <row r="4" spans="1:8" ht="24" thickBot="1">
      <c r="A4" s="12" t="s">
        <v>8</v>
      </c>
      <c r="B4" s="6">
        <v>283924</v>
      </c>
      <c r="C4" s="6">
        <v>101189</v>
      </c>
      <c r="D4" s="6">
        <v>40959</v>
      </c>
      <c r="E4" s="6">
        <v>224942</v>
      </c>
      <c r="F4" s="6">
        <v>40843</v>
      </c>
      <c r="G4" s="7">
        <v>8441</v>
      </c>
      <c r="H4" s="14">
        <f aca="true" t="shared" si="0" ref="H4:H9">SUM(B4:G4)</f>
        <v>700298</v>
      </c>
    </row>
    <row r="5" spans="1:8" ht="23.25">
      <c r="A5" s="12" t="s">
        <v>9</v>
      </c>
      <c r="B5" s="13">
        <v>756880</v>
      </c>
      <c r="C5" s="13">
        <v>166960</v>
      </c>
      <c r="D5" s="13">
        <v>61064</v>
      </c>
      <c r="E5" s="13">
        <v>229096</v>
      </c>
      <c r="F5" s="13">
        <v>69814</v>
      </c>
      <c r="G5" s="13">
        <v>8035</v>
      </c>
      <c r="H5" s="14">
        <f t="shared" si="0"/>
        <v>1291849</v>
      </c>
    </row>
    <row r="6" spans="1:8" ht="23.25">
      <c r="A6" s="12" t="s">
        <v>10</v>
      </c>
      <c r="B6" s="13">
        <f>'[3]frosh va moshtarak'!$B$9+'[3]frosh va moshtarak'!$B$10</f>
        <v>1109379</v>
      </c>
      <c r="C6" s="13">
        <f>'[3]frosh va moshtarak'!$C$9+'[3]frosh va moshtarak'!$C$10</f>
        <v>176264</v>
      </c>
      <c r="D6" s="13">
        <f>'[3]frosh va moshtarak'!$D$9+'[3]frosh va moshtarak'!$D$10</f>
        <v>74024</v>
      </c>
      <c r="E6" s="13">
        <f>'[3]frosh va moshtarak'!$E$9+'[3]frosh va moshtarak'!$E$10</f>
        <v>243873</v>
      </c>
      <c r="F6" s="13">
        <f>'[3]frosh va moshtarak'!$F$9+'[3]frosh va moshtarak'!$F$10</f>
        <v>97837</v>
      </c>
      <c r="G6" s="13">
        <f>'[3]frosh va moshtarak'!$G$9+'[3]frosh va moshtarak'!$G$10</f>
        <v>10705</v>
      </c>
      <c r="H6" s="14">
        <f t="shared" si="0"/>
        <v>1712082</v>
      </c>
    </row>
    <row r="7" spans="1:8" ht="23.25">
      <c r="A7" s="12" t="s">
        <v>11</v>
      </c>
      <c r="B7" s="13">
        <v>974041</v>
      </c>
      <c r="C7" s="13">
        <v>139862</v>
      </c>
      <c r="D7" s="13">
        <v>46902</v>
      </c>
      <c r="E7" s="13">
        <v>222848</v>
      </c>
      <c r="F7" s="13">
        <v>87728</v>
      </c>
      <c r="G7" s="13">
        <v>12824</v>
      </c>
      <c r="H7" s="14">
        <f t="shared" si="0"/>
        <v>1484205</v>
      </c>
    </row>
    <row r="8" spans="1:8" ht="23.25">
      <c r="A8" s="12" t="s">
        <v>12</v>
      </c>
      <c r="B8" s="13">
        <v>396675</v>
      </c>
      <c r="C8" s="13">
        <v>60001</v>
      </c>
      <c r="D8" s="13">
        <v>56696</v>
      </c>
      <c r="E8" s="13">
        <v>203507</v>
      </c>
      <c r="F8" s="13">
        <v>55177</v>
      </c>
      <c r="G8" s="13">
        <v>14883</v>
      </c>
      <c r="H8" s="14">
        <f t="shared" si="0"/>
        <v>786939</v>
      </c>
    </row>
    <row r="9" spans="1:8" ht="24" thickBot="1">
      <c r="A9" s="12" t="s">
        <v>13</v>
      </c>
      <c r="B9" s="13">
        <v>190461</v>
      </c>
      <c r="C9" s="13">
        <v>50992</v>
      </c>
      <c r="D9" s="13">
        <v>49218</v>
      </c>
      <c r="E9" s="13">
        <v>201847</v>
      </c>
      <c r="F9" s="13">
        <v>39845</v>
      </c>
      <c r="G9" s="13">
        <v>9080</v>
      </c>
      <c r="H9" s="14">
        <f t="shared" si="0"/>
        <v>541443</v>
      </c>
    </row>
    <row r="10" spans="1:8" ht="24" thickBot="1">
      <c r="A10" s="5" t="s">
        <v>7</v>
      </c>
      <c r="B10" s="15">
        <f>SUM(B4:B9)</f>
        <v>3711360</v>
      </c>
      <c r="C10" s="15">
        <f aca="true" t="shared" si="1" ref="C10:H10">SUM(C4:C9)</f>
        <v>695268</v>
      </c>
      <c r="D10" s="15">
        <f t="shared" si="1"/>
        <v>328863</v>
      </c>
      <c r="E10" s="15">
        <f t="shared" si="1"/>
        <v>1326113</v>
      </c>
      <c r="F10" s="15">
        <f t="shared" si="1"/>
        <v>391244</v>
      </c>
      <c r="G10" s="15">
        <f t="shared" si="1"/>
        <v>63968</v>
      </c>
      <c r="H10" s="15">
        <f t="shared" si="1"/>
        <v>6516816</v>
      </c>
    </row>
    <row r="11" spans="1:8" ht="22.5" customHeight="1">
      <c r="A11" s="150" t="s">
        <v>21</v>
      </c>
      <c r="B11" s="150"/>
      <c r="C11" s="150"/>
      <c r="D11" s="150"/>
      <c r="E11" s="150"/>
      <c r="F11" s="150"/>
      <c r="G11" s="150"/>
      <c r="H11" s="150"/>
    </row>
    <row r="12" spans="1:8" ht="18.75">
      <c r="A12" s="149" t="s">
        <v>69</v>
      </c>
      <c r="B12" s="149"/>
      <c r="C12" s="149"/>
      <c r="D12" s="149"/>
      <c r="E12" s="149"/>
      <c r="F12" s="149"/>
      <c r="G12" s="149"/>
      <c r="H12" s="149"/>
    </row>
    <row r="13" spans="1:8" ht="57.75" customHeight="1">
      <c r="A13" s="146" t="s">
        <v>72</v>
      </c>
      <c r="B13" s="146"/>
      <c r="C13" s="146"/>
      <c r="D13" s="146"/>
      <c r="E13" s="146"/>
      <c r="F13" s="146"/>
      <c r="G13" s="146"/>
      <c r="H13" s="146"/>
    </row>
  </sheetData>
  <sheetProtection password="C4F7"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PageLayoutView="0" workbookViewId="0" topLeftCell="A4">
      <selection activeCell="B13" sqref="B13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151" t="s">
        <v>40</v>
      </c>
      <c r="B1" s="151"/>
      <c r="C1" s="55" t="s">
        <v>74</v>
      </c>
    </row>
    <row r="2" spans="1:3" ht="20.25" thickBot="1">
      <c r="A2" s="48" t="s">
        <v>39</v>
      </c>
      <c r="B2" s="60">
        <v>1389</v>
      </c>
      <c r="C2" s="61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23.25">
      <c r="A4" s="12" t="s">
        <v>23</v>
      </c>
      <c r="B4" s="13">
        <v>1305</v>
      </c>
      <c r="C4" s="16">
        <v>1595</v>
      </c>
    </row>
    <row r="5" spans="1:3" ht="23.25">
      <c r="A5" s="17" t="s">
        <v>24</v>
      </c>
      <c r="B5" s="18">
        <v>1595</v>
      </c>
      <c r="C5" s="19">
        <v>1665</v>
      </c>
    </row>
    <row r="6" spans="1:3" ht="23.25">
      <c r="A6" s="17" t="s">
        <v>25</v>
      </c>
      <c r="B6" s="18">
        <v>1964</v>
      </c>
      <c r="C6" s="19">
        <v>2015</v>
      </c>
    </row>
    <row r="7" spans="1:3" ht="23.25">
      <c r="A7" s="17" t="s">
        <v>26</v>
      </c>
      <c r="B7" s="18">
        <v>2019</v>
      </c>
      <c r="C7" s="19">
        <v>2060</v>
      </c>
    </row>
    <row r="8" spans="1:3" ht="23.25">
      <c r="A8" s="17" t="s">
        <v>27</v>
      </c>
      <c r="B8" s="18">
        <v>2056</v>
      </c>
      <c r="C8" s="19">
        <v>2084</v>
      </c>
    </row>
    <row r="9" spans="1:3" ht="23.25">
      <c r="A9" s="20" t="s">
        <v>28</v>
      </c>
      <c r="B9" s="21">
        <v>2057</v>
      </c>
      <c r="C9" s="22">
        <v>2096</v>
      </c>
    </row>
    <row r="10" spans="1:3" ht="23.25">
      <c r="A10" s="20" t="s">
        <v>29</v>
      </c>
      <c r="B10" s="21">
        <v>1779</v>
      </c>
      <c r="C10" s="22">
        <v>1818</v>
      </c>
    </row>
    <row r="11" spans="1:3" ht="23.25">
      <c r="A11" s="20" t="s">
        <v>30</v>
      </c>
      <c r="B11" s="21">
        <v>1161</v>
      </c>
      <c r="C11" s="22">
        <v>1228</v>
      </c>
    </row>
    <row r="12" spans="1:3" ht="23.25">
      <c r="A12" s="20" t="s">
        <v>31</v>
      </c>
      <c r="B12" s="21">
        <v>626</v>
      </c>
      <c r="C12" s="22">
        <v>638</v>
      </c>
    </row>
    <row r="13" spans="1:3" ht="23.25">
      <c r="A13" s="20" t="s">
        <v>32</v>
      </c>
      <c r="B13" s="21">
        <v>662</v>
      </c>
      <c r="C13" s="22">
        <v>676</v>
      </c>
    </row>
    <row r="14" spans="1:3" ht="23.25">
      <c r="A14" s="20" t="s">
        <v>33</v>
      </c>
      <c r="B14" s="21">
        <v>669</v>
      </c>
      <c r="C14" s="22">
        <v>693</v>
      </c>
    </row>
    <row r="15" spans="1:3" ht="24" thickBot="1">
      <c r="A15" s="20" t="s">
        <v>34</v>
      </c>
      <c r="B15" s="21">
        <v>617</v>
      </c>
      <c r="C15" s="22">
        <v>624</v>
      </c>
    </row>
    <row r="16" spans="1:3" ht="24" thickBot="1">
      <c r="A16" s="5" t="s">
        <v>38</v>
      </c>
      <c r="B16" s="9">
        <f>MAX(B4:B15)</f>
        <v>2057</v>
      </c>
      <c r="C16" s="9">
        <f>MAX(C4:C15)</f>
        <v>2096</v>
      </c>
    </row>
    <row r="18" spans="1:3" ht="39" customHeight="1">
      <c r="A18" s="153" t="s">
        <v>42</v>
      </c>
      <c r="B18" s="152"/>
      <c r="C18" s="152"/>
    </row>
    <row r="19" spans="1:3" ht="42" customHeight="1">
      <c r="A19" s="152" t="s">
        <v>41</v>
      </c>
      <c r="B19" s="152"/>
      <c r="C19" s="152"/>
    </row>
    <row r="20" spans="1:3" ht="60.75" customHeight="1">
      <c r="A20" s="153" t="s">
        <v>43</v>
      </c>
      <c r="B20" s="152"/>
      <c r="C20" s="152"/>
    </row>
    <row r="21" spans="1:3" ht="43.5" customHeight="1">
      <c r="A21" s="152" t="s">
        <v>70</v>
      </c>
      <c r="B21" s="152"/>
      <c r="C21" s="152"/>
    </row>
  </sheetData>
  <sheetProtection password="C4F7" sheet="1"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rightToLeft="1" zoomScale="115" zoomScaleNormal="115" zoomScalePageLayoutView="0" workbookViewId="0" topLeftCell="G1">
      <selection activeCell="K18" sqref="K18"/>
    </sheetView>
  </sheetViews>
  <sheetFormatPr defaultColWidth="9.140625" defaultRowHeight="12.75"/>
  <cols>
    <col min="1" max="1" width="10.140625" style="0" customWidth="1"/>
    <col min="2" max="8" width="8.140625" style="0" customWidth="1"/>
    <col min="9" max="9" width="12.28125" style="0" customWidth="1"/>
    <col min="10" max="10" width="11.8515625" style="0" customWidth="1"/>
    <col min="15" max="15" width="6.8515625" style="0" customWidth="1"/>
    <col min="16" max="16" width="12.00390625" style="0" customWidth="1"/>
  </cols>
  <sheetData>
    <row r="1" spans="1:18" ht="21.75" thickBot="1">
      <c r="A1" s="172" t="s">
        <v>53</v>
      </c>
      <c r="B1" s="172"/>
      <c r="C1" s="172"/>
      <c r="D1" s="172"/>
      <c r="E1" s="172"/>
      <c r="F1" s="172"/>
      <c r="G1" s="172"/>
      <c r="H1" s="60" t="s">
        <v>74</v>
      </c>
      <c r="I1" s="58" t="s">
        <v>39</v>
      </c>
      <c r="J1" s="59">
        <v>1389</v>
      </c>
      <c r="K1" s="59"/>
      <c r="L1" s="168" t="s">
        <v>76</v>
      </c>
      <c r="M1" s="168"/>
      <c r="N1" s="168"/>
      <c r="O1" s="168"/>
      <c r="P1" s="168"/>
      <c r="Q1" s="168"/>
      <c r="R1" s="168"/>
    </row>
    <row r="2" spans="1:18" ht="24" customHeight="1">
      <c r="A2" s="173" t="s">
        <v>44</v>
      </c>
      <c r="B2" s="154" t="s">
        <v>45</v>
      </c>
      <c r="C2" s="154"/>
      <c r="D2" s="154"/>
      <c r="E2" s="154" t="s">
        <v>50</v>
      </c>
      <c r="F2" s="154"/>
      <c r="G2" s="154"/>
      <c r="H2" s="164" t="s">
        <v>48</v>
      </c>
      <c r="I2" s="165"/>
      <c r="J2" s="166" t="s">
        <v>51</v>
      </c>
      <c r="K2" s="67"/>
      <c r="L2" s="169" t="s">
        <v>44</v>
      </c>
      <c r="M2" s="155" t="s">
        <v>48</v>
      </c>
      <c r="N2" s="156"/>
      <c r="O2" s="156"/>
      <c r="P2" s="156"/>
      <c r="Q2" s="156"/>
      <c r="R2" s="157"/>
    </row>
    <row r="3" spans="1:18" ht="38.25" customHeight="1" thickBot="1">
      <c r="A3" s="174"/>
      <c r="B3" s="23" t="s">
        <v>46</v>
      </c>
      <c r="C3" s="23" t="s">
        <v>47</v>
      </c>
      <c r="D3" s="23" t="s">
        <v>7</v>
      </c>
      <c r="E3" s="23" t="s">
        <v>46</v>
      </c>
      <c r="F3" s="23" t="s">
        <v>47</v>
      </c>
      <c r="G3" s="23" t="s">
        <v>7</v>
      </c>
      <c r="H3" s="23" t="s">
        <v>49</v>
      </c>
      <c r="I3" s="24" t="s">
        <v>52</v>
      </c>
      <c r="J3" s="167"/>
      <c r="K3" s="67"/>
      <c r="L3" s="170"/>
      <c r="M3" s="158" t="s">
        <v>49</v>
      </c>
      <c r="N3" s="159"/>
      <c r="O3" s="160"/>
      <c r="P3" s="161" t="s">
        <v>77</v>
      </c>
      <c r="Q3" s="161"/>
      <c r="R3" s="162"/>
    </row>
    <row r="4" spans="1:18" ht="30" customHeight="1" thickBot="1">
      <c r="A4" s="25" t="s">
        <v>23</v>
      </c>
      <c r="B4" s="26">
        <v>3103.7</v>
      </c>
      <c r="C4" s="27">
        <v>58.825</v>
      </c>
      <c r="D4" s="28">
        <f>+C4+B4</f>
        <v>3162.5249999999996</v>
      </c>
      <c r="E4" s="26">
        <v>3418.96</v>
      </c>
      <c r="F4" s="27">
        <v>507.03</v>
      </c>
      <c r="G4" s="28">
        <f>+F4+E4</f>
        <v>3925.99</v>
      </c>
      <c r="H4" s="26">
        <f>9503+450</f>
        <v>9953</v>
      </c>
      <c r="I4" s="29">
        <f>R5</f>
        <v>3056554</v>
      </c>
      <c r="J4" s="30">
        <v>111619</v>
      </c>
      <c r="K4" s="67"/>
      <c r="L4" s="171"/>
      <c r="M4" s="71" t="s">
        <v>46</v>
      </c>
      <c r="N4" s="72" t="s">
        <v>78</v>
      </c>
      <c r="O4" s="73" t="s">
        <v>79</v>
      </c>
      <c r="P4" s="74" t="s">
        <v>46</v>
      </c>
      <c r="Q4" s="75" t="s">
        <v>47</v>
      </c>
      <c r="R4" s="84" t="s">
        <v>79</v>
      </c>
    </row>
    <row r="5" spans="1:18" ht="24" thickBot="1">
      <c r="A5" s="31" t="s">
        <v>24</v>
      </c>
      <c r="B5" s="32">
        <v>3109.6</v>
      </c>
      <c r="C5" s="13">
        <v>58.92</v>
      </c>
      <c r="D5" s="14">
        <f aca="true" t="shared" si="0" ref="D5:D15">+C5+B5</f>
        <v>3168.52</v>
      </c>
      <c r="E5" s="32">
        <v>3420.25</v>
      </c>
      <c r="F5" s="13">
        <v>508.8</v>
      </c>
      <c r="G5" s="33">
        <f>+F5+E5</f>
        <v>3929.05</v>
      </c>
      <c r="H5" s="32">
        <f>9519+450</f>
        <v>9969</v>
      </c>
      <c r="I5" s="29">
        <f>R6</f>
        <v>3061098</v>
      </c>
      <c r="J5" s="34">
        <v>111803</v>
      </c>
      <c r="K5" s="80"/>
      <c r="L5" s="25" t="s">
        <v>23</v>
      </c>
      <c r="M5" s="68">
        <v>9503</v>
      </c>
      <c r="N5" s="69">
        <v>450</v>
      </c>
      <c r="O5" s="70">
        <f>+N5+M5</f>
        <v>9953</v>
      </c>
      <c r="P5" s="81">
        <v>2756589</v>
      </c>
      <c r="Q5" s="117">
        <f>'[1]shabake toziee'!$I$5</f>
        <v>299965</v>
      </c>
      <c r="R5" s="85">
        <f aca="true" t="shared" si="1" ref="R5:R12">Q5+P5</f>
        <v>3056554</v>
      </c>
    </row>
    <row r="6" spans="1:18" ht="24" thickBot="1">
      <c r="A6" s="31" t="s">
        <v>25</v>
      </c>
      <c r="B6" s="32">
        <f>B5+9.248</f>
        <v>3118.848</v>
      </c>
      <c r="C6" s="13">
        <f>C5+1</f>
        <v>59.92</v>
      </c>
      <c r="D6" s="14">
        <f t="shared" si="0"/>
        <v>3178.768</v>
      </c>
      <c r="E6" s="32">
        <f>E5+9.24</f>
        <v>3429.49</v>
      </c>
      <c r="F6" s="13">
        <f>F5+1.485</f>
        <v>510.285</v>
      </c>
      <c r="G6" s="33">
        <f aca="true" t="shared" si="2" ref="G6:G15">+F6+E6</f>
        <v>3939.7749999999996</v>
      </c>
      <c r="H6" s="32">
        <f>H5+20</f>
        <v>9989</v>
      </c>
      <c r="I6" s="29">
        <f>R7</f>
        <v>3066409</v>
      </c>
      <c r="J6" s="34">
        <f>J5+162</f>
        <v>111965</v>
      </c>
      <c r="K6" s="80"/>
      <c r="L6" s="31" t="s">
        <v>24</v>
      </c>
      <c r="M6" s="76">
        <v>9519</v>
      </c>
      <c r="N6" s="77">
        <v>450</v>
      </c>
      <c r="O6" s="78">
        <f aca="true" t="shared" si="3" ref="O6:O15">+N6+M6</f>
        <v>9969</v>
      </c>
      <c r="P6" s="82">
        <v>2761133</v>
      </c>
      <c r="Q6" s="118">
        <v>299965</v>
      </c>
      <c r="R6" s="85">
        <f t="shared" si="1"/>
        <v>3061098</v>
      </c>
    </row>
    <row r="7" spans="1:18" ht="24" thickBot="1">
      <c r="A7" s="31" t="s">
        <v>26</v>
      </c>
      <c r="B7" s="32">
        <v>3132.6</v>
      </c>
      <c r="C7" s="13">
        <f>C6+0.843</f>
        <v>60.763000000000005</v>
      </c>
      <c r="D7" s="14">
        <f t="shared" si="0"/>
        <v>3193.363</v>
      </c>
      <c r="E7" s="32">
        <f>E6+5.336</f>
        <v>3434.8259999999996</v>
      </c>
      <c r="F7" s="13">
        <f>F6+2.666</f>
        <v>512.951</v>
      </c>
      <c r="G7" s="33">
        <f t="shared" si="2"/>
        <v>3947.7769999999996</v>
      </c>
      <c r="H7" s="32">
        <f>H6+37</f>
        <v>10026</v>
      </c>
      <c r="I7" s="16">
        <f>I6+12605</f>
        <v>3079014</v>
      </c>
      <c r="J7" s="34">
        <f>J6+191</f>
        <v>112156</v>
      </c>
      <c r="K7" s="80"/>
      <c r="L7" s="31" t="s">
        <v>25</v>
      </c>
      <c r="M7" s="76">
        <v>9539</v>
      </c>
      <c r="N7" s="77">
        <v>450</v>
      </c>
      <c r="O7" s="78">
        <f t="shared" si="3"/>
        <v>9989</v>
      </c>
      <c r="P7" s="82">
        <v>2766444</v>
      </c>
      <c r="Q7" s="118">
        <v>299965</v>
      </c>
      <c r="R7" s="85">
        <f t="shared" si="1"/>
        <v>3066409</v>
      </c>
    </row>
    <row r="8" spans="1:18" ht="24" thickBot="1">
      <c r="A8" s="31" t="s">
        <v>27</v>
      </c>
      <c r="B8" s="32">
        <f>B7+15.436</f>
        <v>3148.036</v>
      </c>
      <c r="C8" s="13">
        <f>C7+1.979</f>
        <v>62.742000000000004</v>
      </c>
      <c r="D8" s="14">
        <f t="shared" si="0"/>
        <v>3210.7780000000002</v>
      </c>
      <c r="E8" s="32">
        <f>E7+18.596</f>
        <v>3453.4219999999996</v>
      </c>
      <c r="F8" s="13">
        <f>F7+7.076</f>
        <v>520.027</v>
      </c>
      <c r="G8" s="33">
        <f t="shared" si="2"/>
        <v>3973.4489999999996</v>
      </c>
      <c r="H8" s="32">
        <f>148+H7</f>
        <v>10174</v>
      </c>
      <c r="I8" s="16">
        <f>I7+23635</f>
        <v>3102649</v>
      </c>
      <c r="J8" s="140" t="s">
        <v>119</v>
      </c>
      <c r="K8" s="80"/>
      <c r="L8" s="31" t="s">
        <v>26</v>
      </c>
      <c r="M8" s="76">
        <f>M7+37</f>
        <v>9576</v>
      </c>
      <c r="N8" s="77">
        <v>450</v>
      </c>
      <c r="O8" s="78">
        <f t="shared" si="3"/>
        <v>10026</v>
      </c>
      <c r="P8" s="82">
        <f>P7+12605</f>
        <v>2779049</v>
      </c>
      <c r="Q8" s="118">
        <v>299965</v>
      </c>
      <c r="R8" s="85">
        <f t="shared" si="1"/>
        <v>3079014</v>
      </c>
    </row>
    <row r="9" spans="1:18" ht="24" thickBot="1">
      <c r="A9" s="35" t="s">
        <v>28</v>
      </c>
      <c r="B9" s="32">
        <f>B8+7.879</f>
        <v>3155.915</v>
      </c>
      <c r="C9" s="13">
        <f>C8+3.626</f>
        <v>66.36800000000001</v>
      </c>
      <c r="D9" s="14">
        <f t="shared" si="0"/>
        <v>3222.283</v>
      </c>
      <c r="E9" s="32">
        <f>E8+9.488</f>
        <v>3462.9099999999994</v>
      </c>
      <c r="F9" s="13">
        <f>F8+3.36</f>
        <v>523.3870000000001</v>
      </c>
      <c r="G9" s="33">
        <f t="shared" si="2"/>
        <v>3986.2969999999996</v>
      </c>
      <c r="H9" s="32">
        <f>H8+57</f>
        <v>10231</v>
      </c>
      <c r="I9" s="16">
        <f>I8+22220</f>
        <v>3124869</v>
      </c>
      <c r="J9" s="140" t="s">
        <v>120</v>
      </c>
      <c r="K9" s="80"/>
      <c r="L9" s="31" t="s">
        <v>27</v>
      </c>
      <c r="M9" s="76">
        <f>M8+148</f>
        <v>9724</v>
      </c>
      <c r="N9" s="77">
        <v>450</v>
      </c>
      <c r="O9" s="78">
        <f t="shared" si="3"/>
        <v>10174</v>
      </c>
      <c r="P9" s="82">
        <f>P8+23635</f>
        <v>2802684</v>
      </c>
      <c r="Q9" s="118">
        <v>299965</v>
      </c>
      <c r="R9" s="85">
        <f t="shared" si="1"/>
        <v>3102649</v>
      </c>
    </row>
    <row r="10" spans="1:18" ht="24" thickBot="1">
      <c r="A10" s="35" t="s">
        <v>29</v>
      </c>
      <c r="B10" s="143">
        <f>B9+9.282</f>
        <v>3165.197</v>
      </c>
      <c r="C10" s="13">
        <f>C9+1.074</f>
        <v>67.44200000000001</v>
      </c>
      <c r="D10" s="14">
        <f t="shared" si="0"/>
        <v>3232.639</v>
      </c>
      <c r="E10" s="32">
        <f>E9+9.558</f>
        <v>3472.4679999999994</v>
      </c>
      <c r="F10" s="13">
        <f>F9+1.98</f>
        <v>525.3670000000001</v>
      </c>
      <c r="G10" s="33">
        <f t="shared" si="2"/>
        <v>3997.8349999999996</v>
      </c>
      <c r="H10" s="32">
        <f>H9+39</f>
        <v>10270</v>
      </c>
      <c r="I10" s="16">
        <f>I9+10853</f>
        <v>3135722</v>
      </c>
      <c r="J10" s="140" t="s">
        <v>121</v>
      </c>
      <c r="K10" s="80"/>
      <c r="L10" s="35" t="s">
        <v>28</v>
      </c>
      <c r="M10" s="76">
        <f>M9+57</f>
        <v>9781</v>
      </c>
      <c r="N10" s="77">
        <v>450</v>
      </c>
      <c r="O10" s="78">
        <f t="shared" si="3"/>
        <v>10231</v>
      </c>
      <c r="P10" s="82">
        <f>P9+22220</f>
        <v>2824904</v>
      </c>
      <c r="Q10" s="118">
        <v>299965</v>
      </c>
      <c r="R10" s="85">
        <f t="shared" si="1"/>
        <v>3124869</v>
      </c>
    </row>
    <row r="11" spans="1:18" ht="24" thickBot="1">
      <c r="A11" s="35" t="s">
        <v>30</v>
      </c>
      <c r="B11" s="32">
        <f>B10+3.69</f>
        <v>3168.887</v>
      </c>
      <c r="C11" s="13">
        <f>C10+0.087</f>
        <v>67.52900000000001</v>
      </c>
      <c r="D11" s="14">
        <f t="shared" si="0"/>
        <v>3236.416</v>
      </c>
      <c r="E11" s="141">
        <v>3474.73</v>
      </c>
      <c r="F11" s="142">
        <f>+F10+1.72</f>
        <v>527.0870000000001</v>
      </c>
      <c r="G11" s="33">
        <f t="shared" si="2"/>
        <v>4001.817</v>
      </c>
      <c r="H11" s="32">
        <f>H10+32</f>
        <v>10302</v>
      </c>
      <c r="I11" s="16">
        <f>I10+9752</f>
        <v>3145474</v>
      </c>
      <c r="J11" s="140" t="s">
        <v>122</v>
      </c>
      <c r="K11" s="80"/>
      <c r="L11" s="35" t="s">
        <v>29</v>
      </c>
      <c r="M11" s="76">
        <f>M10+39</f>
        <v>9820</v>
      </c>
      <c r="N11" s="77">
        <v>450</v>
      </c>
      <c r="O11" s="78">
        <f t="shared" si="3"/>
        <v>10270</v>
      </c>
      <c r="P11" s="82">
        <f>P10+10853</f>
        <v>2835757</v>
      </c>
      <c r="Q11" s="118">
        <v>299965</v>
      </c>
      <c r="R11" s="85">
        <f t="shared" si="1"/>
        <v>3135722</v>
      </c>
    </row>
    <row r="12" spans="1:18" ht="23.25">
      <c r="A12" s="35" t="s">
        <v>31</v>
      </c>
      <c r="B12" s="144">
        <v>3176.637</v>
      </c>
      <c r="C12" s="13">
        <v>67.853</v>
      </c>
      <c r="D12" s="145">
        <f t="shared" si="0"/>
        <v>3244.4900000000002</v>
      </c>
      <c r="E12" s="32">
        <v>3485.229</v>
      </c>
      <c r="F12" s="13">
        <v>527.092</v>
      </c>
      <c r="G12" s="33">
        <f t="shared" si="2"/>
        <v>4012.321</v>
      </c>
      <c r="H12" s="32">
        <v>10331</v>
      </c>
      <c r="I12" s="16">
        <v>3156088</v>
      </c>
      <c r="J12" s="34">
        <v>114773</v>
      </c>
      <c r="K12" s="80"/>
      <c r="L12" s="35" t="s">
        <v>30</v>
      </c>
      <c r="M12" s="76">
        <f>+M11+32</f>
        <v>9852</v>
      </c>
      <c r="N12" s="77">
        <v>450</v>
      </c>
      <c r="O12" s="78">
        <f t="shared" si="3"/>
        <v>10302</v>
      </c>
      <c r="P12" s="83">
        <f>+P11+9752</f>
        <v>2845509</v>
      </c>
      <c r="Q12" s="118">
        <v>299965</v>
      </c>
      <c r="R12" s="85">
        <f t="shared" si="1"/>
        <v>3145474</v>
      </c>
    </row>
    <row r="13" spans="1:18" ht="23.25">
      <c r="A13" s="35" t="s">
        <v>32</v>
      </c>
      <c r="B13" s="111">
        <v>3182.214</v>
      </c>
      <c r="C13" s="112">
        <v>67.853</v>
      </c>
      <c r="D13" s="113">
        <f>C13+B13</f>
        <v>3250.067</v>
      </c>
      <c r="E13" s="111">
        <v>3486.67</v>
      </c>
      <c r="F13" s="112">
        <v>528.82</v>
      </c>
      <c r="G13" s="114">
        <f>F13+E13</f>
        <v>4015.4900000000002</v>
      </c>
      <c r="H13" s="111">
        <v>10349</v>
      </c>
      <c r="I13" s="115">
        <v>3162104</v>
      </c>
      <c r="J13" s="116">
        <v>115168</v>
      </c>
      <c r="K13" s="80"/>
      <c r="L13" s="35" t="s">
        <v>31</v>
      </c>
      <c r="M13" s="76">
        <v>9881</v>
      </c>
      <c r="N13" s="77">
        <v>450</v>
      </c>
      <c r="O13" s="78">
        <f t="shared" si="3"/>
        <v>10331</v>
      </c>
      <c r="P13" s="76">
        <v>2856123</v>
      </c>
      <c r="Q13" s="77">
        <v>299965</v>
      </c>
      <c r="R13" s="79">
        <f>Q13+P13</f>
        <v>3156088</v>
      </c>
    </row>
    <row r="14" spans="1:18" ht="23.25">
      <c r="A14" s="35" t="s">
        <v>33</v>
      </c>
      <c r="B14" s="32">
        <v>3185.053000000001</v>
      </c>
      <c r="C14" s="13">
        <v>67.85300000000002</v>
      </c>
      <c r="D14" s="14">
        <f t="shared" si="0"/>
        <v>3252.906000000001</v>
      </c>
      <c r="E14" s="32">
        <v>3510.088</v>
      </c>
      <c r="F14" s="13">
        <v>530.539</v>
      </c>
      <c r="G14" s="33">
        <f t="shared" si="2"/>
        <v>4040.6270000000004</v>
      </c>
      <c r="H14" s="32">
        <v>10409</v>
      </c>
      <c r="I14" s="16">
        <v>3581150</v>
      </c>
      <c r="J14" s="34">
        <v>115328</v>
      </c>
      <c r="K14" s="80"/>
      <c r="L14" s="35" t="s">
        <v>32</v>
      </c>
      <c r="M14" s="76">
        <v>9899</v>
      </c>
      <c r="N14" s="77">
        <v>450</v>
      </c>
      <c r="O14" s="78">
        <f t="shared" si="3"/>
        <v>10349</v>
      </c>
      <c r="P14" s="76">
        <v>2862139</v>
      </c>
      <c r="Q14" s="77">
        <v>299965</v>
      </c>
      <c r="R14" s="79">
        <f>Q14+P14</f>
        <v>3162104</v>
      </c>
    </row>
    <row r="15" spans="1:18" ht="24" thickBot="1">
      <c r="A15" s="36" t="s">
        <v>34</v>
      </c>
      <c r="B15" s="37">
        <v>3188.236000000001</v>
      </c>
      <c r="C15" s="38">
        <v>67.95000000000002</v>
      </c>
      <c r="D15" s="41">
        <f t="shared" si="0"/>
        <v>3256.1860000000006</v>
      </c>
      <c r="E15" s="37">
        <v>3512.9710000000005</v>
      </c>
      <c r="F15" s="38">
        <v>535.185</v>
      </c>
      <c r="G15" s="41">
        <f t="shared" si="2"/>
        <v>4048.1560000000004</v>
      </c>
      <c r="H15" s="37">
        <v>10435</v>
      </c>
      <c r="I15" s="39">
        <v>3600050</v>
      </c>
      <c r="J15" s="40">
        <v>115636</v>
      </c>
      <c r="K15" s="80"/>
      <c r="L15" s="36" t="s">
        <v>33</v>
      </c>
      <c r="M15" s="86">
        <v>9959</v>
      </c>
      <c r="N15" s="87">
        <v>450</v>
      </c>
      <c r="O15" s="88">
        <f t="shared" si="3"/>
        <v>10409</v>
      </c>
      <c r="P15" s="86">
        <v>3258320</v>
      </c>
      <c r="Q15" s="87">
        <v>322830</v>
      </c>
      <c r="R15" s="79">
        <f>Q15+P15</f>
        <v>3581150</v>
      </c>
    </row>
    <row r="16" spans="12:18" ht="24" thickBot="1">
      <c r="L16" s="36" t="s">
        <v>34</v>
      </c>
      <c r="M16" s="86">
        <v>9985</v>
      </c>
      <c r="N16" s="87">
        <v>450</v>
      </c>
      <c r="O16" s="88">
        <f>+N16+M16</f>
        <v>10435</v>
      </c>
      <c r="P16" s="86">
        <v>3277220</v>
      </c>
      <c r="Q16" s="87">
        <v>322830</v>
      </c>
      <c r="R16" s="79">
        <f>Q16+P16</f>
        <v>3600050</v>
      </c>
    </row>
    <row r="17" spans="1:10" ht="21" customHeight="1">
      <c r="A17" s="163" t="s">
        <v>54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40.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</sheetData>
  <sheetProtection/>
  <mergeCells count="12">
    <mergeCell ref="L1:R1"/>
    <mergeCell ref="L2:L4"/>
    <mergeCell ref="A1:G1"/>
    <mergeCell ref="A2:A3"/>
    <mergeCell ref="B2:D2"/>
    <mergeCell ref="E2:G2"/>
    <mergeCell ref="M2:R2"/>
    <mergeCell ref="M3:O3"/>
    <mergeCell ref="P3:R3"/>
    <mergeCell ref="A17:J18"/>
    <mergeCell ref="H2:I2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6"/>
  <sheetViews>
    <sheetView rightToLeft="1" zoomScalePageLayoutView="0" workbookViewId="0" topLeftCell="A1">
      <selection activeCell="T2" sqref="T2"/>
    </sheetView>
  </sheetViews>
  <sheetFormatPr defaultColWidth="9.140625" defaultRowHeight="12.75"/>
  <cols>
    <col min="1" max="1" width="12.57421875" style="47" customWidth="1"/>
    <col min="2" max="2" width="10.28125" style="47" customWidth="1"/>
    <col min="3" max="3" width="12.140625" style="47" customWidth="1"/>
    <col min="4" max="4" width="28.140625" style="47" customWidth="1"/>
    <col min="5" max="5" width="22.7109375" style="47" customWidth="1"/>
    <col min="6" max="6" width="12.421875" style="47" customWidth="1"/>
    <col min="7" max="9" width="10.57421875" style="47" customWidth="1"/>
    <col min="10" max="10" width="13.7109375" style="47" customWidth="1"/>
    <col min="11" max="13" width="9.140625" style="47" customWidth="1"/>
    <col min="14" max="14" width="7.28125" style="47" customWidth="1"/>
    <col min="15" max="15" width="11.28125" style="47" customWidth="1"/>
    <col min="16" max="16" width="10.7109375" style="47" customWidth="1"/>
    <col min="17" max="19" width="9.140625" style="47" customWidth="1"/>
    <col min="20" max="20" width="12.57421875" style="47" customWidth="1"/>
    <col min="21" max="16384" width="9.140625" style="47" customWidth="1"/>
  </cols>
  <sheetData>
    <row r="1" spans="1:21" ht="18" thickBot="1">
      <c r="A1" s="197" t="s">
        <v>57</v>
      </c>
      <c r="B1" s="197"/>
      <c r="C1" s="197"/>
      <c r="D1" s="197"/>
      <c r="E1" s="51" t="s">
        <v>74</v>
      </c>
      <c r="F1" s="66" t="s">
        <v>39</v>
      </c>
      <c r="G1" s="51">
        <v>1389</v>
      </c>
      <c r="H1" s="49"/>
      <c r="I1" s="89" t="s">
        <v>80</v>
      </c>
      <c r="J1" s="89"/>
      <c r="K1" s="89"/>
      <c r="L1" s="89"/>
      <c r="M1" s="89"/>
      <c r="N1" s="89"/>
      <c r="O1" s="89"/>
      <c r="P1" s="89"/>
      <c r="Q1" s="89"/>
      <c r="R1" s="89"/>
      <c r="S1" s="51"/>
      <c r="T1" s="51"/>
      <c r="U1" s="51"/>
    </row>
    <row r="2" spans="1:18" ht="23.25" customHeight="1" thickBot="1">
      <c r="A2" s="173" t="s">
        <v>35</v>
      </c>
      <c r="B2" s="154" t="s">
        <v>55</v>
      </c>
      <c r="C2" s="154" t="s">
        <v>56</v>
      </c>
      <c r="D2" s="199" t="s">
        <v>58</v>
      </c>
      <c r="E2" s="199" t="s">
        <v>59</v>
      </c>
      <c r="F2" s="154" t="s">
        <v>48</v>
      </c>
      <c r="G2" s="187"/>
      <c r="H2" s="80"/>
      <c r="I2" s="89" t="s">
        <v>81</v>
      </c>
      <c r="J2" s="90"/>
      <c r="K2" s="91"/>
      <c r="L2" s="90"/>
      <c r="M2" s="90"/>
      <c r="N2" s="90"/>
      <c r="O2" s="90"/>
      <c r="P2" s="90"/>
      <c r="Q2" s="90"/>
      <c r="R2" s="90"/>
    </row>
    <row r="3" spans="1:8" ht="30" customHeight="1" thickBot="1">
      <c r="A3" s="174"/>
      <c r="B3" s="198"/>
      <c r="C3" s="198"/>
      <c r="D3" s="200"/>
      <c r="E3" s="200"/>
      <c r="F3" s="110" t="s">
        <v>60</v>
      </c>
      <c r="G3" s="41" t="s">
        <v>49</v>
      </c>
      <c r="H3" s="80"/>
    </row>
    <row r="4" spans="1:27" ht="26.25" thickBot="1">
      <c r="A4" s="12" t="s">
        <v>23</v>
      </c>
      <c r="B4" s="13" t="s">
        <v>75</v>
      </c>
      <c r="C4" s="13" t="s">
        <v>75</v>
      </c>
      <c r="D4" s="13" t="s">
        <v>75</v>
      </c>
      <c r="E4" s="13" t="s">
        <v>75</v>
      </c>
      <c r="F4" s="13"/>
      <c r="G4" s="16"/>
      <c r="H4" s="80"/>
      <c r="I4" s="92"/>
      <c r="J4" s="66" t="s">
        <v>82</v>
      </c>
      <c r="K4" s="183" t="s">
        <v>103</v>
      </c>
      <c r="L4" s="183"/>
      <c r="M4" s="183"/>
      <c r="N4" s="183"/>
      <c r="O4" s="183"/>
      <c r="P4" s="183"/>
      <c r="Q4" s="183"/>
      <c r="R4" s="183"/>
      <c r="S4" s="183"/>
      <c r="T4" s="183"/>
      <c r="U4" s="93"/>
      <c r="V4" s="93"/>
      <c r="W4" s="94" t="s">
        <v>83</v>
      </c>
      <c r="AA4" s="95"/>
    </row>
    <row r="5" spans="1:23" ht="24" thickBot="1">
      <c r="A5" s="17" t="s">
        <v>24</v>
      </c>
      <c r="B5" s="13" t="s">
        <v>75</v>
      </c>
      <c r="C5" s="13" t="s">
        <v>75</v>
      </c>
      <c r="D5" s="13" t="s">
        <v>75</v>
      </c>
      <c r="E5" s="13" t="s">
        <v>75</v>
      </c>
      <c r="F5" s="13"/>
      <c r="G5" s="16"/>
      <c r="H5" s="80"/>
      <c r="I5" s="188" t="s">
        <v>84</v>
      </c>
      <c r="J5" s="180" t="s">
        <v>85</v>
      </c>
      <c r="K5" s="177" t="s">
        <v>86</v>
      </c>
      <c r="L5" s="180" t="s">
        <v>87</v>
      </c>
      <c r="M5" s="180" t="s">
        <v>88</v>
      </c>
      <c r="N5" s="177" t="s">
        <v>89</v>
      </c>
      <c r="O5" s="177" t="s">
        <v>90</v>
      </c>
      <c r="P5" s="177" t="s">
        <v>91</v>
      </c>
      <c r="Q5" s="180" t="s">
        <v>56</v>
      </c>
      <c r="R5" s="175" t="s">
        <v>92</v>
      </c>
      <c r="S5" s="176"/>
      <c r="T5" s="175" t="s">
        <v>93</v>
      </c>
      <c r="U5" s="176"/>
      <c r="V5" s="191" t="s">
        <v>94</v>
      </c>
      <c r="W5" s="180" t="s">
        <v>95</v>
      </c>
    </row>
    <row r="6" spans="1:23" ht="24.75" customHeight="1">
      <c r="A6" s="17" t="s">
        <v>25</v>
      </c>
      <c r="B6" s="13" t="s">
        <v>75</v>
      </c>
      <c r="C6" s="13" t="s">
        <v>75</v>
      </c>
      <c r="D6" s="13" t="s">
        <v>75</v>
      </c>
      <c r="E6" s="13" t="s">
        <v>75</v>
      </c>
      <c r="F6" s="13"/>
      <c r="G6" s="16"/>
      <c r="H6" s="80"/>
      <c r="I6" s="189"/>
      <c r="J6" s="181"/>
      <c r="K6" s="178"/>
      <c r="L6" s="181"/>
      <c r="M6" s="181"/>
      <c r="N6" s="178"/>
      <c r="O6" s="178"/>
      <c r="P6" s="178"/>
      <c r="Q6" s="181"/>
      <c r="R6" s="97" t="s">
        <v>96</v>
      </c>
      <c r="S6" s="98" t="s">
        <v>97</v>
      </c>
      <c r="T6" s="96" t="s">
        <v>98</v>
      </c>
      <c r="U6" s="96" t="s">
        <v>49</v>
      </c>
      <c r="V6" s="192"/>
      <c r="W6" s="181"/>
    </row>
    <row r="7" spans="1:23" ht="24.75" customHeight="1" thickBot="1">
      <c r="A7" s="17" t="s">
        <v>26</v>
      </c>
      <c r="B7" s="13" t="s">
        <v>75</v>
      </c>
      <c r="C7" s="13" t="s">
        <v>75</v>
      </c>
      <c r="D7" s="13" t="s">
        <v>75</v>
      </c>
      <c r="E7" s="13" t="s">
        <v>75</v>
      </c>
      <c r="F7" s="13"/>
      <c r="G7" s="16"/>
      <c r="H7" s="80"/>
      <c r="I7" s="190"/>
      <c r="J7" s="182"/>
      <c r="K7" s="179"/>
      <c r="L7" s="182"/>
      <c r="M7" s="182"/>
      <c r="N7" s="179"/>
      <c r="O7" s="179"/>
      <c r="P7" s="179"/>
      <c r="Q7" s="182"/>
      <c r="R7" s="99" t="s">
        <v>99</v>
      </c>
      <c r="S7" s="100" t="s">
        <v>99</v>
      </c>
      <c r="T7" s="99" t="s">
        <v>100</v>
      </c>
      <c r="U7" s="99"/>
      <c r="V7" s="193"/>
      <c r="W7" s="182"/>
    </row>
    <row r="8" spans="1:23" ht="24.75" customHeight="1">
      <c r="A8" s="17" t="s">
        <v>27</v>
      </c>
      <c r="B8" s="13" t="s">
        <v>75</v>
      </c>
      <c r="C8" s="13" t="s">
        <v>75</v>
      </c>
      <c r="D8" s="13" t="s">
        <v>75</v>
      </c>
      <c r="E8" s="13" t="s">
        <v>75</v>
      </c>
      <c r="F8" s="13"/>
      <c r="G8" s="16"/>
      <c r="H8" s="80"/>
      <c r="I8" s="194" t="s">
        <v>79</v>
      </c>
      <c r="J8" s="195"/>
      <c r="K8" s="195"/>
      <c r="L8" s="195"/>
      <c r="M8" s="195"/>
      <c r="N8" s="195"/>
      <c r="O8" s="195"/>
      <c r="P8" s="196"/>
      <c r="Q8" s="119">
        <f>SUM(Q9:Q126)</f>
        <v>1120</v>
      </c>
      <c r="R8" s="119">
        <f>SUM(R9:R126)</f>
        <v>81.29700000000001</v>
      </c>
      <c r="S8" s="119">
        <f>SUM(S9:S126)</f>
        <v>11.136000000000001</v>
      </c>
      <c r="T8" s="119">
        <f>SUM(T9:T126)</f>
        <v>10630</v>
      </c>
      <c r="U8" s="119">
        <f>SUM(U9:U126)</f>
        <v>45</v>
      </c>
      <c r="V8" s="120"/>
      <c r="W8" s="101"/>
    </row>
    <row r="9" spans="1:23" ht="24.75" customHeight="1">
      <c r="A9" s="20" t="s">
        <v>28</v>
      </c>
      <c r="B9" s="13" t="s">
        <v>75</v>
      </c>
      <c r="C9" s="13" t="s">
        <v>75</v>
      </c>
      <c r="D9" s="13" t="s">
        <v>75</v>
      </c>
      <c r="E9" s="13" t="s">
        <v>75</v>
      </c>
      <c r="F9" s="13"/>
      <c r="G9" s="16"/>
      <c r="H9" s="80"/>
      <c r="I9" s="121">
        <v>1</v>
      </c>
      <c r="J9" s="133" t="s">
        <v>104</v>
      </c>
      <c r="K9" s="134" t="s">
        <v>74</v>
      </c>
      <c r="L9" s="135"/>
      <c r="M9" s="136"/>
      <c r="N9" s="134" t="s">
        <v>116</v>
      </c>
      <c r="O9" s="135" t="s">
        <v>105</v>
      </c>
      <c r="P9" s="137" t="s">
        <v>106</v>
      </c>
      <c r="Q9" s="134">
        <v>54</v>
      </c>
      <c r="R9" s="135">
        <v>0</v>
      </c>
      <c r="S9" s="136">
        <v>5.392</v>
      </c>
      <c r="T9" s="136">
        <v>0</v>
      </c>
      <c r="U9" s="136">
        <v>0</v>
      </c>
      <c r="V9" s="136" t="s">
        <v>107</v>
      </c>
      <c r="W9" s="138" t="s">
        <v>108</v>
      </c>
    </row>
    <row r="10" spans="1:23" ht="24.75" customHeight="1">
      <c r="A10" s="20" t="s">
        <v>29</v>
      </c>
      <c r="B10" s="13" t="s">
        <v>75</v>
      </c>
      <c r="C10" s="13" t="s">
        <v>75</v>
      </c>
      <c r="D10" s="13" t="s">
        <v>75</v>
      </c>
      <c r="E10" s="13" t="s">
        <v>75</v>
      </c>
      <c r="F10" s="13"/>
      <c r="G10" s="16"/>
      <c r="H10" s="80"/>
      <c r="I10" s="121">
        <v>2</v>
      </c>
      <c r="J10" s="133" t="s">
        <v>104</v>
      </c>
      <c r="K10" s="134" t="s">
        <v>74</v>
      </c>
      <c r="L10" s="135"/>
      <c r="M10" s="136"/>
      <c r="N10" s="134" t="s">
        <v>117</v>
      </c>
      <c r="O10" s="135" t="s">
        <v>109</v>
      </c>
      <c r="P10" s="137" t="s">
        <v>106</v>
      </c>
      <c r="Q10" s="134">
        <v>66</v>
      </c>
      <c r="R10" s="135">
        <v>1.916</v>
      </c>
      <c r="S10" s="136">
        <v>0.1</v>
      </c>
      <c r="T10" s="136">
        <f>3*250</f>
        <v>750</v>
      </c>
      <c r="U10" s="136">
        <v>3</v>
      </c>
      <c r="V10" s="136" t="s">
        <v>107</v>
      </c>
      <c r="W10" s="138" t="s">
        <v>108</v>
      </c>
    </row>
    <row r="11" spans="1:23" ht="24.75" customHeight="1">
      <c r="A11" s="20" t="s">
        <v>30</v>
      </c>
      <c r="B11" s="13" t="s">
        <v>75</v>
      </c>
      <c r="C11" s="13" t="s">
        <v>75</v>
      </c>
      <c r="D11" s="13" t="s">
        <v>75</v>
      </c>
      <c r="E11" s="13" t="s">
        <v>75</v>
      </c>
      <c r="F11" s="13"/>
      <c r="G11" s="16"/>
      <c r="H11" s="80"/>
      <c r="I11" s="121">
        <v>3</v>
      </c>
      <c r="J11" s="133" t="s">
        <v>104</v>
      </c>
      <c r="K11" s="134" t="s">
        <v>74</v>
      </c>
      <c r="L11" s="135"/>
      <c r="M11" s="136"/>
      <c r="N11" s="134" t="s">
        <v>116</v>
      </c>
      <c r="O11" s="135" t="s">
        <v>110</v>
      </c>
      <c r="P11" s="137" t="s">
        <v>106</v>
      </c>
      <c r="Q11" s="134">
        <v>144</v>
      </c>
      <c r="R11" s="135">
        <v>8.709</v>
      </c>
      <c r="S11" s="136">
        <v>0.594</v>
      </c>
      <c r="T11" s="136">
        <f>2*125+6*250</f>
        <v>1750</v>
      </c>
      <c r="U11" s="136">
        <v>8</v>
      </c>
      <c r="V11" s="136" t="s">
        <v>107</v>
      </c>
      <c r="W11" s="138" t="s">
        <v>108</v>
      </c>
    </row>
    <row r="12" spans="1:23" ht="24.75" customHeight="1">
      <c r="A12" s="20" t="s">
        <v>31</v>
      </c>
      <c r="B12" s="13" t="s">
        <v>75</v>
      </c>
      <c r="C12" s="13" t="s">
        <v>75</v>
      </c>
      <c r="D12" s="13" t="s">
        <v>75</v>
      </c>
      <c r="E12" s="13" t="s">
        <v>75</v>
      </c>
      <c r="F12" s="13"/>
      <c r="G12" s="16"/>
      <c r="H12" s="80"/>
      <c r="I12" s="121">
        <v>4</v>
      </c>
      <c r="J12" s="133" t="s">
        <v>104</v>
      </c>
      <c r="K12" s="134" t="s">
        <v>74</v>
      </c>
      <c r="L12" s="135"/>
      <c r="M12" s="136" t="s">
        <v>111</v>
      </c>
      <c r="N12" s="134"/>
      <c r="O12" s="135" t="s">
        <v>112</v>
      </c>
      <c r="P12" s="137"/>
      <c r="Q12" s="134"/>
      <c r="R12" s="135">
        <v>31.364</v>
      </c>
      <c r="S12" s="136">
        <v>2.645</v>
      </c>
      <c r="T12" s="136">
        <f>19*250</f>
        <v>4750</v>
      </c>
      <c r="U12" s="136">
        <v>21</v>
      </c>
      <c r="V12" s="136" t="s">
        <v>107</v>
      </c>
      <c r="W12" s="138" t="s">
        <v>108</v>
      </c>
    </row>
    <row r="13" spans="1:23" ht="24.75" customHeight="1">
      <c r="A13" s="20" t="s">
        <v>32</v>
      </c>
      <c r="B13" s="13" t="s">
        <v>75</v>
      </c>
      <c r="C13" s="13" t="s">
        <v>75</v>
      </c>
      <c r="D13" s="13" t="s">
        <v>75</v>
      </c>
      <c r="E13" s="13" t="s">
        <v>75</v>
      </c>
      <c r="F13" s="13"/>
      <c r="G13" s="16"/>
      <c r="H13" s="80"/>
      <c r="I13" s="121">
        <v>5</v>
      </c>
      <c r="J13" s="133" t="s">
        <v>104</v>
      </c>
      <c r="K13" s="134" t="s">
        <v>74</v>
      </c>
      <c r="L13" s="135"/>
      <c r="M13" s="136"/>
      <c r="N13" s="134"/>
      <c r="O13" s="135" t="s">
        <v>114</v>
      </c>
      <c r="P13" s="137" t="s">
        <v>106</v>
      </c>
      <c r="Q13" s="134"/>
      <c r="R13" s="135">
        <v>5.7</v>
      </c>
      <c r="S13" s="136">
        <v>0.406</v>
      </c>
      <c r="T13" s="136">
        <v>500</v>
      </c>
      <c r="U13" s="136">
        <v>2</v>
      </c>
      <c r="V13" s="136" t="s">
        <v>107</v>
      </c>
      <c r="W13" s="138" t="s">
        <v>108</v>
      </c>
    </row>
    <row r="14" spans="1:23" ht="24.75" customHeight="1" thickBot="1">
      <c r="A14" s="20" t="s">
        <v>33</v>
      </c>
      <c r="B14" s="13" t="s">
        <v>75</v>
      </c>
      <c r="C14" s="13" t="s">
        <v>75</v>
      </c>
      <c r="D14" s="13" t="s">
        <v>75</v>
      </c>
      <c r="E14" s="13" t="s">
        <v>75</v>
      </c>
      <c r="F14" s="52"/>
      <c r="G14" s="53"/>
      <c r="H14" s="80"/>
      <c r="I14" s="121">
        <v>6</v>
      </c>
      <c r="J14" s="133" t="s">
        <v>104</v>
      </c>
      <c r="K14" s="134" t="s">
        <v>74</v>
      </c>
      <c r="L14" s="135"/>
      <c r="M14" s="136"/>
      <c r="N14" s="134" t="s">
        <v>118</v>
      </c>
      <c r="O14" s="135" t="s">
        <v>113</v>
      </c>
      <c r="P14" s="137" t="s">
        <v>106</v>
      </c>
      <c r="Q14" s="134">
        <v>856</v>
      </c>
      <c r="R14" s="135">
        <v>27.5</v>
      </c>
      <c r="S14" s="136">
        <v>1.842</v>
      </c>
      <c r="T14" s="136">
        <f>6*250+2*315</f>
        <v>2130</v>
      </c>
      <c r="U14" s="136">
        <v>8</v>
      </c>
      <c r="V14" s="136" t="s">
        <v>107</v>
      </c>
      <c r="W14" s="138" t="s">
        <v>108</v>
      </c>
    </row>
    <row r="15" spans="1:23" ht="24.75" customHeight="1" thickBot="1">
      <c r="A15" s="54" t="s">
        <v>34</v>
      </c>
      <c r="B15" s="13" t="s">
        <v>75</v>
      </c>
      <c r="C15" s="13" t="s">
        <v>75</v>
      </c>
      <c r="D15" s="13" t="s">
        <v>75</v>
      </c>
      <c r="E15" s="13" t="s">
        <v>75</v>
      </c>
      <c r="F15" s="27"/>
      <c r="G15" s="29"/>
      <c r="H15" s="80"/>
      <c r="I15" s="121">
        <v>7</v>
      </c>
      <c r="J15" s="133" t="s">
        <v>104</v>
      </c>
      <c r="K15" s="134" t="s">
        <v>74</v>
      </c>
      <c r="L15" s="135"/>
      <c r="M15" s="136"/>
      <c r="N15" s="134"/>
      <c r="O15" s="135" t="s">
        <v>115</v>
      </c>
      <c r="P15" s="137" t="s">
        <v>106</v>
      </c>
      <c r="Q15" s="134"/>
      <c r="R15" s="135">
        <v>6.108</v>
      </c>
      <c r="S15" s="136">
        <v>0.157</v>
      </c>
      <c r="T15" s="136">
        <f>3*250</f>
        <v>750</v>
      </c>
      <c r="U15" s="136">
        <v>3</v>
      </c>
      <c r="V15" s="136" t="s">
        <v>107</v>
      </c>
      <c r="W15" s="138" t="s">
        <v>108</v>
      </c>
    </row>
    <row r="16" spans="1:23" ht="24.75" customHeight="1" thickBot="1">
      <c r="A16" s="5" t="s">
        <v>7</v>
      </c>
      <c r="B16" s="9">
        <f aca="true" t="shared" si="0" ref="B16:G16">SUM(B4:B15)</f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11">
        <f t="shared" si="0"/>
        <v>0</v>
      </c>
      <c r="H16" s="80"/>
      <c r="I16" s="121" t="s">
        <v>101</v>
      </c>
      <c r="J16" s="122"/>
      <c r="K16" s="123"/>
      <c r="L16" s="124"/>
      <c r="M16" s="125"/>
      <c r="N16" s="123"/>
      <c r="O16" s="124"/>
      <c r="P16" s="126"/>
      <c r="Q16" s="123"/>
      <c r="R16" s="124"/>
      <c r="S16" s="125"/>
      <c r="T16" s="125"/>
      <c r="U16" s="125"/>
      <c r="V16" s="125"/>
      <c r="W16" s="102"/>
    </row>
    <row r="17" spans="1:23" ht="24.75" customHeight="1" thickBot="1">
      <c r="A17" s="42"/>
      <c r="B17" s="42"/>
      <c r="C17" s="42"/>
      <c r="D17" s="42"/>
      <c r="E17" s="42"/>
      <c r="F17" s="42"/>
      <c r="G17" s="42"/>
      <c r="H17" s="80"/>
      <c r="I17" s="127" t="s">
        <v>101</v>
      </c>
      <c r="J17" s="128"/>
      <c r="K17" s="129"/>
      <c r="L17" s="130"/>
      <c r="M17" s="131"/>
      <c r="N17" s="129"/>
      <c r="O17" s="130"/>
      <c r="P17" s="132"/>
      <c r="Q17" s="129"/>
      <c r="R17" s="130"/>
      <c r="S17" s="131"/>
      <c r="T17" s="131"/>
      <c r="U17" s="131"/>
      <c r="V17" s="131"/>
      <c r="W17" s="103"/>
    </row>
    <row r="18" spans="1:23" ht="38.25" customHeight="1">
      <c r="A18" s="184" t="s">
        <v>61</v>
      </c>
      <c r="B18" s="185"/>
      <c r="C18" s="185"/>
      <c r="D18" s="185"/>
      <c r="E18" s="185"/>
      <c r="F18" s="185"/>
      <c r="G18" s="185"/>
      <c r="H18" s="104"/>
      <c r="I18" s="186" t="s">
        <v>102</v>
      </c>
      <c r="J18" s="186"/>
      <c r="K18" s="186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24.75" customHeight="1">
      <c r="A19" s="153" t="s">
        <v>73</v>
      </c>
      <c r="B19" s="152"/>
      <c r="C19" s="152"/>
      <c r="D19" s="152"/>
      <c r="E19" s="152"/>
      <c r="F19" s="152"/>
      <c r="G19" s="152"/>
      <c r="H19" s="106"/>
      <c r="I19" s="107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</row>
    <row r="20" spans="1:23" ht="24.75" customHeight="1">
      <c r="A20"/>
      <c r="B20"/>
      <c r="C20"/>
      <c r="D20"/>
      <c r="E20"/>
      <c r="F20"/>
      <c r="G20"/>
      <c r="I20" s="107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</row>
    <row r="21" spans="1:23" ht="24.75" customHeight="1">
      <c r="A21"/>
      <c r="B21"/>
      <c r="C21"/>
      <c r="D21"/>
      <c r="E21"/>
      <c r="F21"/>
      <c r="G21"/>
      <c r="I21" s="107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9:23" ht="24.75" customHeight="1">
      <c r="I22" s="107"/>
      <c r="J22" s="105"/>
      <c r="K22" s="105"/>
      <c r="L22" s="105"/>
      <c r="M22" s="105"/>
      <c r="N22" s="105"/>
      <c r="O22" s="105"/>
      <c r="P22" s="105"/>
      <c r="Q22" s="108"/>
      <c r="R22" s="108"/>
      <c r="S22" s="108"/>
      <c r="T22" s="108"/>
      <c r="U22" s="108"/>
      <c r="V22" s="109"/>
      <c r="W22" s="109"/>
    </row>
    <row r="23" spans="9:23" ht="23.25">
      <c r="I23" s="107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9:23" ht="23.25">
      <c r="I24" s="107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spans="9:23" ht="23.25">
      <c r="I25" s="107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9:23" ht="23.25">
      <c r="I26" s="10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</row>
    <row r="27" spans="9:23" ht="23.25">
      <c r="I27" s="107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9:23" ht="23.25">
      <c r="I28" s="107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</row>
    <row r="29" spans="9:23" ht="23.25">
      <c r="I29" s="107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9:23" ht="23.25">
      <c r="I30" s="107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</row>
    <row r="31" spans="9:23" ht="23.25">
      <c r="I31" s="107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9:23" ht="23.25">
      <c r="I32" s="107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9:23" ht="23.25">
      <c r="I33" s="107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9:23" ht="23.25"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9:23" ht="23.25">
      <c r="I35" s="107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9:23" ht="23.25">
      <c r="I36" s="107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7" spans="9:23" ht="23.25">
      <c r="I37" s="107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9:23" ht="23.25">
      <c r="I38" s="107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9:23" ht="23.25">
      <c r="I39" s="107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</row>
    <row r="40" spans="9:23" ht="23.25">
      <c r="I40" s="107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</row>
    <row r="41" spans="9:23" ht="23.25">
      <c r="I41" s="107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</row>
    <row r="42" spans="9:23" ht="23.25">
      <c r="I42" s="107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9:23" ht="23.25">
      <c r="I43" s="107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9:23" ht="23.25">
      <c r="I44" s="107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</row>
    <row r="45" spans="9:23" ht="23.25">
      <c r="I45" s="107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</row>
    <row r="46" spans="9:23" ht="23.25">
      <c r="I46" s="107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</row>
    <row r="47" spans="9:23" ht="23.25">
      <c r="I47" s="107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9:23" ht="23.25">
      <c r="I48" s="107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9:23" ht="23.25">
      <c r="I49" s="107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9:23" ht="23.25">
      <c r="I50" s="107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9:23" ht="23.25">
      <c r="I51" s="107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9:23" ht="23.25">
      <c r="I52" s="107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9:23" ht="23.25">
      <c r="I53" s="107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9:23" ht="23.25">
      <c r="I54" s="107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9:23" ht="23.25">
      <c r="I55" s="107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9:23" ht="23.25">
      <c r="I56" s="107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9:23" ht="23.25">
      <c r="I57" s="107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9:23" ht="23.25">
      <c r="I58" s="107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9:23" ht="23.25">
      <c r="I59" s="107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9:23" ht="23.25">
      <c r="I60" s="107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9:23" ht="23.25">
      <c r="I61" s="107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</row>
    <row r="62" spans="9:23" ht="23.25">
      <c r="I62" s="107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</row>
    <row r="63" spans="9:23" ht="23.25">
      <c r="I63" s="107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</row>
    <row r="64" spans="9:23" ht="23.25">
      <c r="I64" s="107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</row>
    <row r="65" spans="9:23" ht="23.25">
      <c r="I65" s="107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</row>
    <row r="66" spans="9:23" ht="23.25">
      <c r="I66" s="107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</row>
    <row r="67" spans="9:23" ht="23.25">
      <c r="I67" s="107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</row>
    <row r="68" spans="9:23" ht="23.25">
      <c r="I68" s="107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</row>
    <row r="69" spans="9:23" ht="23.25">
      <c r="I69" s="107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9:23" ht="23.25">
      <c r="I70" s="107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</row>
    <row r="71" spans="9:23" ht="23.25">
      <c r="I71" s="107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</row>
    <row r="72" spans="9:23" ht="23.25">
      <c r="I72" s="107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</row>
    <row r="73" spans="9:23" ht="23.25">
      <c r="I73" s="107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</row>
    <row r="74" spans="9:23" ht="23.25">
      <c r="I74" s="107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</row>
    <row r="75" spans="9:23" ht="23.25">
      <c r="I75" s="107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</row>
    <row r="76" spans="9:23" ht="23.25">
      <c r="I76" s="107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9:23" ht="23.25">
      <c r="I77" s="107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  <row r="78" spans="9:23" ht="23.25">
      <c r="I78" s="107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9:23" ht="23.25">
      <c r="I79" s="107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</row>
    <row r="80" spans="9:23" ht="23.25">
      <c r="I80" s="107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9:23" ht="23.25">
      <c r="I81" s="107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9:23" ht="23.25">
      <c r="I82" s="107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  <row r="83" spans="9:23" ht="23.25">
      <c r="I83" s="107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</row>
    <row r="84" spans="9:23" ht="23.25">
      <c r="I84" s="107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</row>
    <row r="85" spans="9:23" ht="23.25">
      <c r="I85" s="107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9:23" ht="23.25">
      <c r="I86" s="107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</row>
    <row r="87" spans="9:23" ht="23.25">
      <c r="I87" s="107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9:23" ht="23.25">
      <c r="I88" s="107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9:23" ht="23.25">
      <c r="I89" s="107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9:23" ht="23.25">
      <c r="I90" s="107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</row>
    <row r="91" spans="9:23" ht="23.25">
      <c r="I91" s="107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</row>
    <row r="92" spans="9:23" ht="23.25">
      <c r="I92" s="107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</row>
    <row r="93" spans="9:23" ht="23.25">
      <c r="I93" s="107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</row>
    <row r="94" spans="9:23" ht="23.25">
      <c r="I94" s="107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</row>
    <row r="95" spans="9:23" ht="23.25">
      <c r="I95" s="107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</row>
    <row r="96" spans="9:23" ht="23.25">
      <c r="I96" s="107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</row>
    <row r="97" spans="9:23" ht="23.25">
      <c r="I97" s="107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</row>
    <row r="98" spans="9:23" ht="23.25">
      <c r="I98" s="107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</row>
    <row r="99" spans="9:23" ht="23.25">
      <c r="I99" s="107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</row>
    <row r="100" spans="9:23" ht="23.25">
      <c r="I100" s="107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</row>
    <row r="101" spans="9:23" ht="23.25">
      <c r="I101" s="107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</row>
    <row r="102" spans="9:23" ht="23.25">
      <c r="I102" s="107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</row>
    <row r="103" spans="9:23" ht="23.25">
      <c r="I103" s="107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</row>
    <row r="104" spans="9:23" ht="23.25">
      <c r="I104" s="107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</row>
    <row r="105" spans="9:23" ht="23.25">
      <c r="I105" s="107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9:23" ht="23.25">
      <c r="I106" s="107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9:23" ht="23.25">
      <c r="I107" s="107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</row>
    <row r="108" spans="9:23" ht="23.25">
      <c r="I108" s="107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</row>
    <row r="109" spans="9:23" ht="23.25">
      <c r="I109" s="107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</row>
    <row r="110" spans="9:23" ht="23.25">
      <c r="I110" s="107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</row>
    <row r="111" spans="9:23" ht="23.25">
      <c r="I111" s="107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</row>
    <row r="112" spans="9:23" ht="23.25">
      <c r="I112" s="107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</row>
    <row r="113" spans="9:23" ht="23.25">
      <c r="I113" s="107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</row>
    <row r="114" spans="9:23" ht="23.25">
      <c r="I114" s="107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</row>
    <row r="115" spans="9:23" ht="23.25">
      <c r="I115" s="107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</row>
    <row r="116" spans="9:23" ht="23.25">
      <c r="I116" s="107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</row>
    <row r="117" spans="9:23" ht="23.25">
      <c r="I117" s="107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</row>
    <row r="118" spans="9:23" ht="23.25">
      <c r="I118" s="107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</row>
    <row r="119" spans="9:23" ht="23.25">
      <c r="I119" s="107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</row>
    <row r="120" spans="9:23" ht="23.25">
      <c r="I120" s="107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</row>
    <row r="121" spans="9:23" ht="23.25">
      <c r="I121" s="107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9:23" ht="23.25">
      <c r="I122" s="107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9:23" ht="23.25">
      <c r="I123" s="107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9:23" ht="23.25">
      <c r="I124" s="107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9:23" ht="23.25">
      <c r="I125" s="107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9:23" ht="23.25">
      <c r="I126" s="107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</sheetData>
  <sheetProtection/>
  <mergeCells count="25">
    <mergeCell ref="A1:D1"/>
    <mergeCell ref="A2:A3"/>
    <mergeCell ref="B2:B3"/>
    <mergeCell ref="C2:C3"/>
    <mergeCell ref="D2:D3"/>
    <mergeCell ref="E2:E3"/>
    <mergeCell ref="V5:V7"/>
    <mergeCell ref="W5:W7"/>
    <mergeCell ref="I8:P8"/>
    <mergeCell ref="O5:O7"/>
    <mergeCell ref="P5:P7"/>
    <mergeCell ref="Q5:Q7"/>
    <mergeCell ref="R5:S5"/>
    <mergeCell ref="K4:T4"/>
    <mergeCell ref="A18:G18"/>
    <mergeCell ref="I18:K18"/>
    <mergeCell ref="F2:G2"/>
    <mergeCell ref="I5:I7"/>
    <mergeCell ref="J5:J7"/>
    <mergeCell ref="A19:G19"/>
    <mergeCell ref="T5:U5"/>
    <mergeCell ref="N5:N7"/>
    <mergeCell ref="K5:K7"/>
    <mergeCell ref="L5:L7"/>
    <mergeCell ref="M5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rightToLeft="1" zoomScalePageLayoutView="0" workbookViewId="0" topLeftCell="A1">
      <selection activeCell="C13" sqref="C13"/>
    </sheetView>
  </sheetViews>
  <sheetFormatPr defaultColWidth="9.140625" defaultRowHeight="12.75"/>
  <cols>
    <col min="1" max="1" width="17.421875" style="0" customWidth="1"/>
    <col min="2" max="2" width="16.57421875" style="0" customWidth="1"/>
    <col min="3" max="3" width="37.8515625" style="0" customWidth="1"/>
    <col min="4" max="4" width="26.8515625" style="0" customWidth="1"/>
  </cols>
  <sheetData>
    <row r="1" spans="1:4" ht="19.5" customHeight="1">
      <c r="A1" s="208" t="s">
        <v>64</v>
      </c>
      <c r="B1" s="208"/>
      <c r="C1" s="208"/>
      <c r="D1" s="50" t="s">
        <v>74</v>
      </c>
    </row>
    <row r="2" spans="1:4" ht="20.25" thickBot="1">
      <c r="A2" s="43"/>
      <c r="B2" s="44"/>
      <c r="C2" s="56" t="s">
        <v>39</v>
      </c>
      <c r="D2" s="57">
        <v>1389</v>
      </c>
    </row>
    <row r="3" spans="1:4" ht="42.75" customHeight="1" thickBot="1">
      <c r="A3" s="10" t="s">
        <v>35</v>
      </c>
      <c r="B3" s="45" t="s">
        <v>62</v>
      </c>
      <c r="C3" s="45" t="s">
        <v>63</v>
      </c>
      <c r="D3" s="46" t="s">
        <v>65</v>
      </c>
    </row>
    <row r="4" spans="1:4" ht="23.25">
      <c r="A4" s="12" t="s">
        <v>23</v>
      </c>
      <c r="B4" s="13">
        <v>0</v>
      </c>
      <c r="C4" s="13">
        <v>0</v>
      </c>
      <c r="D4" s="16">
        <v>0</v>
      </c>
    </row>
    <row r="5" spans="1:4" ht="23.25">
      <c r="A5" s="17" t="s">
        <v>24</v>
      </c>
      <c r="B5" s="13">
        <v>0</v>
      </c>
      <c r="C5" s="13">
        <v>0</v>
      </c>
      <c r="D5" s="16">
        <v>0</v>
      </c>
    </row>
    <row r="6" spans="1:4" ht="23.25">
      <c r="A6" s="17" t="s">
        <v>25</v>
      </c>
      <c r="B6" s="13" t="s">
        <v>75</v>
      </c>
      <c r="C6" s="13" t="s">
        <v>75</v>
      </c>
      <c r="D6" s="16" t="s">
        <v>75</v>
      </c>
    </row>
    <row r="7" spans="1:4" ht="23.25">
      <c r="A7" s="17" t="s">
        <v>26</v>
      </c>
      <c r="B7" s="13" t="s">
        <v>75</v>
      </c>
      <c r="C7" s="13" t="s">
        <v>75</v>
      </c>
      <c r="D7" s="16" t="s">
        <v>75</v>
      </c>
    </row>
    <row r="8" spans="1:4" ht="23.25">
      <c r="A8" s="17" t="s">
        <v>27</v>
      </c>
      <c r="B8" s="13" t="s">
        <v>75</v>
      </c>
      <c r="C8" s="13" t="s">
        <v>75</v>
      </c>
      <c r="D8" s="16" t="s">
        <v>75</v>
      </c>
    </row>
    <row r="9" spans="1:4" ht="23.25">
      <c r="A9" s="20" t="s">
        <v>28</v>
      </c>
      <c r="B9" s="13" t="s">
        <v>75</v>
      </c>
      <c r="C9" s="13" t="s">
        <v>75</v>
      </c>
      <c r="D9" s="16" t="s">
        <v>75</v>
      </c>
    </row>
    <row r="10" spans="1:4" ht="23.25">
      <c r="A10" s="20" t="s">
        <v>29</v>
      </c>
      <c r="B10" s="13" t="s">
        <v>75</v>
      </c>
      <c r="C10" s="13" t="s">
        <v>75</v>
      </c>
      <c r="D10" s="16" t="s">
        <v>75</v>
      </c>
    </row>
    <row r="11" spans="1:4" ht="23.25">
      <c r="A11" s="20" t="s">
        <v>30</v>
      </c>
      <c r="B11" s="13" t="s">
        <v>75</v>
      </c>
      <c r="C11" s="13" t="s">
        <v>75</v>
      </c>
      <c r="D11" s="16" t="s">
        <v>75</v>
      </c>
    </row>
    <row r="12" spans="1:4" ht="23.25">
      <c r="A12" s="20" t="s">
        <v>31</v>
      </c>
      <c r="B12" s="13" t="s">
        <v>75</v>
      </c>
      <c r="C12" s="13" t="s">
        <v>75</v>
      </c>
      <c r="D12" s="16" t="s">
        <v>75</v>
      </c>
    </row>
    <row r="13" spans="1:4" ht="23.25">
      <c r="A13" s="20" t="s">
        <v>32</v>
      </c>
      <c r="B13" s="13" t="s">
        <v>75</v>
      </c>
      <c r="C13" s="13" t="s">
        <v>75</v>
      </c>
      <c r="D13" s="16" t="s">
        <v>75</v>
      </c>
    </row>
    <row r="14" spans="1:4" ht="23.25">
      <c r="A14" s="20" t="s">
        <v>33</v>
      </c>
      <c r="B14" s="13" t="s">
        <v>75</v>
      </c>
      <c r="C14" s="13" t="s">
        <v>75</v>
      </c>
      <c r="D14" s="16" t="s">
        <v>75</v>
      </c>
    </row>
    <row r="15" spans="1:4" ht="24" thickBot="1">
      <c r="A15" s="20" t="s">
        <v>34</v>
      </c>
      <c r="B15" s="13" t="s">
        <v>75</v>
      </c>
      <c r="C15" s="13" t="s">
        <v>75</v>
      </c>
      <c r="D15" s="16" t="s">
        <v>75</v>
      </c>
    </row>
    <row r="16" spans="1:4" ht="24" thickBot="1">
      <c r="A16" s="201" t="s">
        <v>7</v>
      </c>
      <c r="B16" s="202"/>
      <c r="C16" s="203"/>
      <c r="D16" s="11">
        <f>SUM(D4:D15)</f>
        <v>0</v>
      </c>
    </row>
    <row r="17" spans="1:4" ht="23.25">
      <c r="A17" s="42"/>
      <c r="B17" s="42"/>
      <c r="C17" s="42"/>
      <c r="D17" s="42"/>
    </row>
    <row r="18" spans="1:4" ht="23.25">
      <c r="A18" s="204" t="s">
        <v>66</v>
      </c>
      <c r="B18" s="205"/>
      <c r="C18" s="205"/>
      <c r="D18" s="205"/>
    </row>
    <row r="19" spans="1:4" ht="23.25">
      <c r="A19" s="206" t="s">
        <v>67</v>
      </c>
      <c r="B19" s="207"/>
      <c r="C19" s="207"/>
      <c r="D19" s="207"/>
    </row>
  </sheetData>
  <sheetProtection password="C4F7" sheet="1"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ww</cp:lastModifiedBy>
  <cp:lastPrinted>2011-08-17T16:43:47Z</cp:lastPrinted>
  <dcterms:created xsi:type="dcterms:W3CDTF">2009-01-28T07:15:21Z</dcterms:created>
  <dcterms:modified xsi:type="dcterms:W3CDTF">2011-08-24T20:25:24Z</dcterms:modified>
  <cp:category/>
  <cp:version/>
  <cp:contentType/>
  <cp:contentStatus/>
</cp:coreProperties>
</file>